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autoCompressPictures="0"/>
  <mc:AlternateContent xmlns:mc="http://schemas.openxmlformats.org/markup-compatibility/2006">
    <mc:Choice Requires="x15">
      <x15ac:absPath xmlns:x15ac="http://schemas.microsoft.com/office/spreadsheetml/2010/11/ac" url="C:\_kt PROJECTS\Carson Coaching\Client Segmentation\LMS\Resources\"/>
    </mc:Choice>
  </mc:AlternateContent>
  <xr:revisionPtr revIDLastSave="0" documentId="13_ncr:1_{BAEA6E10-FDA3-4FE2-8513-B51C79B158E4}" xr6:coauthVersionLast="44" xr6:coauthVersionMax="45" xr10:uidLastSave="{00000000-0000-0000-0000-000000000000}"/>
  <bookViews>
    <workbookView xWindow="-120" yWindow="-120" windowWidth="29040" windowHeight="15840" activeTab="1" xr2:uid="{00000000-000D-0000-FFFF-FFFF00000000}"/>
  </bookViews>
  <sheets>
    <sheet name="Instructions" sheetId="1" r:id="rId1"/>
    <sheet name="Client Information" sheetId="2" r:id="rId2"/>
    <sheet name="Summary" sheetId="3" r:id="rId3"/>
    <sheet name="Keywords" sheetId="4" state="hidden" r:id="rId4"/>
  </sheets>
  <definedNames>
    <definedName name="_xlnm._FilterDatabase" localSheetId="1" hidden="1">'Client Information'!$B$7:$P$90</definedName>
    <definedName name="_xlnm.Print_Area" localSheetId="1">'Client Information'!$B$1:$P$27</definedName>
    <definedName name="_xlnm.Print_Titles" localSheetId="1">'Client Information'!$7:$7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2" l="1"/>
  <c r="O9" i="2"/>
  <c r="G11" i="2"/>
  <c r="O11"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E22" i="3"/>
  <c r="E23" i="3"/>
  <c r="E21" i="3"/>
  <c r="E20" i="3"/>
  <c r="H11" i="3"/>
  <c r="C11" i="3"/>
  <c r="C13" i="3"/>
  <c r="E11" i="3"/>
  <c r="C12" i="3"/>
  <c r="G10"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O10"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G8" i="2"/>
  <c r="O8" i="2"/>
  <c r="P8" i="2"/>
  <c r="C14" i="3"/>
  <c r="H32" i="3"/>
  <c r="E32" i="3"/>
  <c r="H25" i="3"/>
  <c r="E25" i="3"/>
  <c r="H31" i="3"/>
  <c r="I31" i="3"/>
  <c r="H30" i="3"/>
  <c r="I30" i="3"/>
  <c r="C31" i="3"/>
  <c r="C30" i="3"/>
  <c r="E31" i="3"/>
  <c r="E30" i="3"/>
  <c r="F30" i="3"/>
  <c r="E10" i="3"/>
  <c r="F10" i="3"/>
  <c r="H9" i="3"/>
  <c r="I9" i="3"/>
  <c r="H10" i="3"/>
  <c r="I10" i="3"/>
  <c r="H8" i="3"/>
  <c r="I8" i="3"/>
  <c r="H6" i="3"/>
  <c r="I6" i="3"/>
  <c r="C6" i="3"/>
  <c r="D6" i="3"/>
  <c r="C10" i="3"/>
  <c r="G10" i="3"/>
  <c r="C8" i="3"/>
  <c r="E7" i="3"/>
  <c r="F7" i="3"/>
  <c r="E8" i="3"/>
  <c r="F8" i="3"/>
  <c r="H7" i="3"/>
  <c r="I7" i="3"/>
  <c r="C7" i="3"/>
  <c r="E9" i="3"/>
  <c r="F9" i="3"/>
  <c r="E6" i="3"/>
  <c r="F6" i="3"/>
  <c r="G30" i="3"/>
  <c r="C9" i="3"/>
  <c r="D9" i="3"/>
  <c r="C32" i="3"/>
  <c r="D31" i="3"/>
  <c r="C25" i="3"/>
  <c r="D8" i="3"/>
  <c r="G8" i="3"/>
  <c r="G9" i="3"/>
  <c r="J31" i="3"/>
  <c r="D30" i="3"/>
  <c r="G6" i="3"/>
  <c r="J9" i="3"/>
  <c r="J30" i="3"/>
  <c r="G31" i="3"/>
  <c r="J6" i="3"/>
  <c r="J7" i="3"/>
  <c r="J8" i="3"/>
  <c r="G7" i="3"/>
  <c r="F31" i="3"/>
  <c r="D10" i="3"/>
  <c r="D7" i="3"/>
  <c r="J10" i="3"/>
  <c r="C24" i="3"/>
  <c r="D24" i="3"/>
  <c r="C21" i="3"/>
  <c r="D21" i="3"/>
  <c r="H24" i="3"/>
  <c r="I24" i="3"/>
  <c r="E19" i="3"/>
  <c r="F19" i="3"/>
  <c r="H19" i="3"/>
  <c r="I19" i="3"/>
  <c r="H21" i="3"/>
  <c r="I21" i="3"/>
  <c r="E24" i="3"/>
  <c r="F24" i="3"/>
  <c r="C20" i="3"/>
  <c r="D20" i="3"/>
  <c r="F23" i="3"/>
  <c r="H20" i="3"/>
  <c r="I20" i="3"/>
  <c r="H22" i="3"/>
  <c r="I22" i="3"/>
  <c r="F20" i="3"/>
  <c r="C19" i="3"/>
  <c r="C22" i="3"/>
  <c r="F21" i="3"/>
  <c r="C23" i="3"/>
  <c r="H23" i="3"/>
  <c r="I23" i="3"/>
  <c r="F22" i="3"/>
  <c r="G24" i="3"/>
  <c r="J24" i="3"/>
  <c r="G20" i="3"/>
  <c r="J21" i="3"/>
  <c r="J20" i="3"/>
  <c r="G19" i="3"/>
  <c r="J19" i="3"/>
  <c r="D19" i="3"/>
  <c r="D22" i="3"/>
  <c r="G22" i="3"/>
  <c r="J22" i="3"/>
  <c r="D23" i="3"/>
  <c r="J23" i="3"/>
  <c r="G23" i="3"/>
  <c r="G21" i="3"/>
</calcChain>
</file>

<file path=xl/sharedStrings.xml><?xml version="1.0" encoding="utf-8"?>
<sst xmlns="http://schemas.openxmlformats.org/spreadsheetml/2006/main" count="207" uniqueCount="81">
  <si>
    <t>Segment</t>
  </si>
  <si>
    <t>A+</t>
  </si>
  <si>
    <t>A</t>
  </si>
  <si>
    <t>B</t>
  </si>
  <si>
    <t>C</t>
  </si>
  <si>
    <t>D</t>
  </si>
  <si>
    <t>%</t>
  </si>
  <si>
    <t>Revenue</t>
  </si>
  <si>
    <t># HH</t>
  </si>
  <si>
    <t>% HH</t>
  </si>
  <si>
    <t>Avg Rev/HH</t>
  </si>
  <si>
    <t>AUM</t>
  </si>
  <si>
    <t>Avg $/HH</t>
  </si>
  <si>
    <t>Age Range</t>
  </si>
  <si>
    <t>Avg Rev/Age</t>
  </si>
  <si>
    <t>&gt;=90</t>
  </si>
  <si>
    <t>80-89</t>
  </si>
  <si>
    <t>70-79</t>
  </si>
  <si>
    <t>60-69</t>
  </si>
  <si>
    <t>50-59</t>
  </si>
  <si>
    <t>&lt;50</t>
  </si>
  <si>
    <t>SEGMENT DISTRIBUTION</t>
  </si>
  <si>
    <t>AGE DISTRIBUTION</t>
  </si>
  <si>
    <t>LIFECYCLE DISTRIBUTION</t>
  </si>
  <si>
    <t>Accumulation</t>
  </si>
  <si>
    <t>Yes</t>
  </si>
  <si>
    <t>No</t>
  </si>
  <si>
    <t>High</t>
  </si>
  <si>
    <t>Medium</t>
  </si>
  <si>
    <t>Low</t>
  </si>
  <si>
    <t>Distribution</t>
  </si>
  <si>
    <t xml:space="preserve">AUM/AUA ($)
</t>
  </si>
  <si>
    <t xml:space="preserve">DOB of Senior Member of HH
</t>
  </si>
  <si>
    <t xml:space="preserve">Age (calculated)
</t>
  </si>
  <si>
    <t xml:space="preserve">Total Points for Assets and Revenue (calculated)
</t>
  </si>
  <si>
    <t xml:space="preserve">Investor Lifecycle: Accumulation
or Distribution
(A /D)
</t>
  </si>
  <si>
    <t xml:space="preserve">60% or More of Revenue is
Fee-Based
(Y/N)
</t>
  </si>
  <si>
    <t xml:space="preserve">Probability of Significant NNA in the Next Five Years
(H, M, L)
</t>
  </si>
  <si>
    <t xml:space="preserve">Total Number of
A+ and A Referrals  That Have Converted in the Last Two Years
(#)
</t>
  </si>
  <si>
    <t xml:space="preserve">Enjoyable Relationship and Client Acts on Recommendations
(H, M, L)
</t>
  </si>
  <si>
    <t xml:space="preserve">Client Embraces Planning
(Y/N) 
</t>
  </si>
  <si>
    <t>($)</t>
  </si>
  <si>
    <t>DOB</t>
  </si>
  <si>
    <t>Column1</t>
  </si>
  <si>
    <t xml:space="preserve">REVENUE
</t>
  </si>
  <si>
    <t>TOTAL</t>
  </si>
  <si>
    <t xml:space="preserve">
 </t>
  </si>
  <si>
    <t xml:space="preserve">Have Relationship with Beneficiaries
(Y/N)
 </t>
  </si>
  <si>
    <t>SUMMARY</t>
  </si>
  <si>
    <t xml:space="preserve">ROA:   </t>
  </si>
  <si>
    <t xml:space="preserve">TOTAL:  </t>
  </si>
  <si>
    <t>INSTRUCTIONS</t>
  </si>
  <si>
    <t>Household Name / ID</t>
  </si>
  <si>
    <t>AUM / AUA</t>
  </si>
  <si>
    <t>Age</t>
  </si>
  <si>
    <t>Calculated</t>
  </si>
  <si>
    <t>Accumulation or Distribution</t>
  </si>
  <si>
    <t>High, Medium, Low</t>
  </si>
  <si>
    <t>Yes or No</t>
  </si>
  <si>
    <t>Client Embraces Planning</t>
  </si>
  <si>
    <t>Number</t>
  </si>
  <si>
    <t>Enjoyable Relationship and Client Acts on Recommendations</t>
  </si>
  <si>
    <t>Investor
Lifecycle</t>
  </si>
  <si>
    <t>Total
Score</t>
  </si>
  <si>
    <t xml:space="preserve">
Points
for Assets
and
Revenue</t>
  </si>
  <si>
    <t>The score for assets and revenue is calculated in this way:</t>
  </si>
  <si>
    <t>Check for missing data. Several fields are “required” in that they drive the distribution analysis on the Summary tab. If there is no entry in a required field it will turn orange to indicate missing data. Those fields are Revenue, AUM/AUA, Date of Birth, and Investor Lifecycle. Ensure these fields contain appropriate values so that the information displayed on the Summary tab is as accurate as possible.</t>
  </si>
  <si>
    <t>CLIENT INFORMATION</t>
  </si>
  <si>
    <t>Probability of Significant
Net New Assets
in Next 5 Years</t>
  </si>
  <si>
    <t>(Of Eldest Client)</t>
  </si>
  <si>
    <t>Have
Relationship
with
Beneficiaries</t>
  </si>
  <si>
    <t>Review the segments into which your households have been grouped. If the calculated segments don't reflect the client's true value to your firm, change the segment rating accordingly.</t>
  </si>
  <si>
    <t xml:space="preserve">Have a team member enter client household data into the Client Information tab, including name, annual revenue, AUM/AUA, and date of birth of the eldest member of the household. These are the columns with the green header. Paste over the first example row, but do not delete that row. If you do delete the first row inadvertently, simply download a fresh copy of the file from Digital Fortress.
</t>
  </si>
  <si>
    <t xml:space="preserve">For each household, enter your response to the columns with the gold header, from Investor Lifecycle through Relationship with Beneficiaries. Responses may be Yes/No, High/Medium/Low or a number value. Click the dropdown indicator next to each field to pick your answer from the list provided.
</t>
  </si>
  <si>
    <t>Number of A+ or A Referrals That Have Become Clients in
Last 2 Years</t>
  </si>
  <si>
    <t>Study the roll-up metrics in the Summary tab and identify opportunites and challenges in the way your clients are distributed by segment, age and lifecycle. Return on Assets (ROA) is listed below the Segmentation Distribution. Also known as revenue yield or turn ratio, ROA is calucalted by dividing total revenue by total assets. It’s a measure of asset productivity.</t>
  </si>
  <si>
    <t>Avg AUM/HH</t>
  </si>
  <si>
    <t xml:space="preserve">Points for these additional fields are calculated as follows:
     •  80% Or More Of Revenue Is Fee-Based: one point for Yes 
     •  Probability of Significant Net New Assets in Next 5 Years:
             o   High:  .5 points
             o   Medium:  .25 points
             o   Low:  0 points
     •  Number of Converted A+ or A Referrals That Have Become Clients in
        Last 2 Years: one point for each referral
     •  Enjoyable Relationship and Client Acts on Recommendations:
             o   High:  .25 points
             o   Medium:  0 points
             o   Low:  minus .25 points
     •  Client Embraces Planning: one point for Yes
     •  Have Relationship with Beneficiaries: .25 point for Yes
</t>
  </si>
  <si>
    <t>80% Or More
Of Revenue Is Fee-Based</t>
  </si>
  <si>
    <r>
      <rPr>
        <b/>
        <sz val="11"/>
        <color rgb="FF35DB86"/>
        <rFont val="Arial"/>
        <family val="2"/>
      </rPr>
      <t>AUM/AUA   Or   Revenue   =    Points</t>
    </r>
    <r>
      <rPr>
        <sz val="11"/>
        <color theme="1"/>
        <rFont val="Arial"/>
        <family val="2"/>
      </rPr>
      <t xml:space="preserve">
&gt; 1,500,000        &gt; 15,000               5
&gt; 1,000,000        &gt; 10,000               4
&gt; 500,000           &gt; 5,000                 3
&gt; 250,000           &gt; 2,500                 2
&gt; 100,000           &gt; 1,000                 1
&lt; 100,000           &lt; 1,000                 0
</t>
    </r>
  </si>
  <si>
    <r>
      <rPr>
        <u/>
        <sz val="9"/>
        <color theme="0"/>
        <rFont val="Arial"/>
        <family val="2"/>
      </rPr>
      <t xml:space="preserve">Segment
</t>
    </r>
    <r>
      <rPr>
        <sz val="9"/>
        <color theme="0"/>
        <rFont val="Arial"/>
        <family val="2"/>
      </rPr>
      <t xml:space="preserve">'A+' Client greater 6
'A' Clients between 6 to 4
'C' Clients between 2.99 to 2
'D' Client less than 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</si>
</sst>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28"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Arial"/>
      <family val="2"/>
    </font>
    <font>
      <sz val="8"/>
      <color theme="0"/>
      <name val="Arial"/>
      <family val="2"/>
    </font>
    <font>
      <sz val="9"/>
      <color theme="1"/>
      <name val="Arial"/>
      <family val="2"/>
    </font>
    <font>
      <sz val="9"/>
      <color theme="5"/>
      <name val="Arial"/>
      <family val="2"/>
    </font>
    <font>
      <b/>
      <sz val="9"/>
      <color theme="1"/>
      <name val="Arial"/>
      <family val="2"/>
    </font>
    <font>
      <sz val="9"/>
      <name val="Arial"/>
      <family val="2"/>
    </font>
    <font>
      <sz val="9"/>
      <color theme="0" tint="-0.34998626667073579"/>
      <name val="Arial"/>
      <family val="2"/>
    </font>
    <font>
      <sz val="9"/>
      <color rgb="FF222222"/>
      <name val="Arial"/>
      <family val="2"/>
    </font>
    <font>
      <b/>
      <sz val="36"/>
      <color rgb="FF377D3D"/>
      <name val="Arial"/>
      <family val="2"/>
    </font>
    <font>
      <sz val="9"/>
      <color rgb="FF777777"/>
      <name val="Arial"/>
      <family val="2"/>
    </font>
    <font>
      <sz val="9"/>
      <color theme="2"/>
      <name val="Arial"/>
      <family val="2"/>
    </font>
    <font>
      <b/>
      <sz val="9"/>
      <name val="Arial"/>
      <family val="2"/>
    </font>
    <font>
      <b/>
      <sz val="10"/>
      <color theme="0"/>
      <name val="Arial"/>
      <family val="2"/>
    </font>
    <font>
      <sz val="10"/>
      <color theme="0"/>
      <name val="Arial"/>
      <family val="2"/>
    </font>
    <font>
      <b/>
      <sz val="18"/>
      <color rgb="FF0D304A"/>
      <name val="Arial"/>
      <family val="2"/>
    </font>
    <font>
      <sz val="9"/>
      <color rgb="FF35DB86"/>
      <name val="Arial"/>
      <family val="2"/>
    </font>
    <font>
      <b/>
      <sz val="36"/>
      <color rgb="FF0D304A"/>
      <name val="Arial"/>
      <family val="2"/>
    </font>
    <font>
      <sz val="9"/>
      <color theme="0"/>
      <name val="Arial"/>
      <family val="2"/>
    </font>
    <font>
      <b/>
      <sz val="11"/>
      <color rgb="FF35DB86"/>
      <name val="Arial"/>
      <family val="2"/>
    </font>
    <font>
      <b/>
      <sz val="9"/>
      <color theme="0"/>
      <name val="Arial"/>
      <family val="2"/>
    </font>
    <font>
      <u/>
      <sz val="9"/>
      <color theme="0"/>
      <name val="Arial"/>
      <family val="2"/>
    </font>
    <font>
      <sz val="9"/>
      <color rgb="FF0D304A"/>
      <name val="Arial"/>
      <family val="2"/>
    </font>
    <font>
      <b/>
      <sz val="10"/>
      <color theme="2"/>
      <name val="Arial"/>
      <family val="2"/>
    </font>
  </fonts>
  <fills count="7">
    <fill>
      <patternFill patternType="none"/>
    </fill>
    <fill>
      <patternFill patternType="gray125"/>
    </fill>
    <fill>
      <patternFill patternType="solid">
        <fgColor theme="5" tint="0.79998168889431442"/>
        <bgColor indexed="64"/>
      </patternFill>
    </fill>
    <fill>
      <patternFill patternType="solid">
        <fgColor rgb="FF35DB86"/>
        <bgColor rgb="FF000000"/>
      </patternFill>
    </fill>
    <fill>
      <patternFill patternType="solid">
        <fgColor rgb="FF0D304A"/>
        <bgColor indexed="64"/>
      </patternFill>
    </fill>
    <fill>
      <patternFill patternType="solid">
        <fgColor rgb="FF35DB86"/>
        <bgColor indexed="64"/>
      </patternFill>
    </fill>
    <fill>
      <patternFill patternType="solid">
        <fgColor rgb="FF24AB66"/>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9.9978637043366805E-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bottom style="thin">
        <color theme="1" tint="9.9978637043366805E-2"/>
      </bottom>
      <diagonal/>
    </border>
    <border>
      <left style="thin">
        <color theme="1" tint="9.9978637043366805E-2"/>
      </left>
      <right style="thin">
        <color auto="1"/>
      </right>
      <top style="thin">
        <color theme="1" tint="9.9978637043366805E-2"/>
      </top>
      <bottom/>
      <diagonal/>
    </border>
    <border>
      <left style="thin">
        <color auto="1"/>
      </left>
      <right style="thin">
        <color auto="1"/>
      </right>
      <top style="thin">
        <color theme="1" tint="9.9978637043366805E-2"/>
      </top>
      <bottom/>
      <diagonal/>
    </border>
    <border>
      <left style="thin">
        <color auto="1"/>
      </left>
      <right style="thin">
        <color theme="1" tint="9.9978637043366805E-2"/>
      </right>
      <top style="thin">
        <color theme="1" tint="9.9978637043366805E-2"/>
      </top>
      <bottom/>
      <diagonal/>
    </border>
    <border>
      <left style="thin">
        <color theme="1" tint="9.9978637043366805E-2"/>
      </left>
      <right style="thin">
        <color auto="1"/>
      </right>
      <top/>
      <bottom style="thin">
        <color theme="1" tint="9.9978637043366805E-2"/>
      </bottom>
      <diagonal/>
    </border>
    <border>
      <left style="thin">
        <color auto="1"/>
      </left>
      <right style="thin">
        <color theme="1" tint="9.9978637043366805E-2"/>
      </right>
      <top/>
      <bottom style="thin">
        <color theme="1" tint="9.9978637043366805E-2"/>
      </bottom>
      <diagonal/>
    </border>
  </borders>
  <cellStyleXfs count="2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cellStyleXfs>
  <cellXfs count="148">
    <xf numFmtId="0" fontId="0" fillId="0" borderId="0" xfId="0"/>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wrapText="1"/>
    </xf>
    <xf numFmtId="0" fontId="7" fillId="0" borderId="0" xfId="0" applyFont="1" applyAlignment="1">
      <alignment wrapText="1"/>
    </xf>
    <xf numFmtId="0" fontId="7" fillId="0" borderId="0" xfId="0" applyFont="1"/>
    <xf numFmtId="0" fontId="14" fillId="0" borderId="0" xfId="0" applyFont="1" applyFill="1" applyAlignment="1"/>
    <xf numFmtId="0" fontId="15" fillId="0" borderId="0" xfId="0" applyFont="1" applyAlignment="1">
      <alignment vertical="center"/>
    </xf>
    <xf numFmtId="0" fontId="8" fillId="0" borderId="0" xfId="0" applyFont="1" applyFill="1" applyAlignment="1"/>
    <xf numFmtId="0" fontId="14" fillId="0" borderId="0" xfId="0" applyFont="1" applyFill="1" applyAlignment="1">
      <alignment wrapText="1"/>
    </xf>
    <xf numFmtId="0" fontId="13" fillId="0" borderId="0" xfId="0" applyFont="1" applyAlignment="1">
      <alignment horizontal="right" wrapText="1"/>
    </xf>
    <xf numFmtId="0" fontId="13" fillId="0" borderId="0" xfId="0" applyFont="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left" vertical="top" wrapText="1" indent="4"/>
    </xf>
    <xf numFmtId="0" fontId="20" fillId="3" borderId="0" xfId="0" applyFont="1" applyFill="1" applyAlignment="1"/>
    <xf numFmtId="0" fontId="21" fillId="0" borderId="0" xfId="0" applyFont="1" applyAlignment="1">
      <alignment horizontal="right" vertical="top" wrapText="1"/>
    </xf>
    <xf numFmtId="0" fontId="12"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NumberFormat="1" applyFont="1" applyAlignment="1">
      <alignment horizontal="center" vertical="center" wrapText="1"/>
    </xf>
    <xf numFmtId="0" fontId="6" fillId="4" borderId="13" xfId="0" applyFont="1" applyFill="1" applyBorder="1" applyAlignment="1">
      <alignment horizontal="center" vertical="center"/>
    </xf>
    <xf numFmtId="0" fontId="6" fillId="4" borderId="9" xfId="0" applyFont="1" applyFill="1" applyBorder="1" applyAlignment="1">
      <alignment horizontal="center" vertical="center"/>
    </xf>
    <xf numFmtId="0" fontId="18" fillId="6" borderId="14" xfId="0" applyFont="1" applyFill="1" applyBorder="1" applyAlignment="1">
      <alignment horizontal="center" vertical="center"/>
    </xf>
    <xf numFmtId="0" fontId="6" fillId="6" borderId="9" xfId="0"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9" xfId="0" applyNumberFormat="1" applyFont="1" applyFill="1" applyBorder="1" applyAlignment="1">
      <alignment horizontal="center" vertical="center" wrapText="1"/>
    </xf>
    <xf numFmtId="0" fontId="6" fillId="6" borderId="4" xfId="0" applyFont="1" applyFill="1" applyBorder="1" applyAlignment="1">
      <alignment horizontal="center" vertical="center"/>
    </xf>
    <xf numFmtId="0" fontId="22" fillId="6" borderId="4"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center" wrapText="1"/>
    </xf>
    <xf numFmtId="0" fontId="26"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vertical="center" wrapText="1"/>
    </xf>
    <xf numFmtId="0" fontId="7" fillId="0" borderId="0" xfId="0" applyFont="1" applyFill="1" applyAlignment="1">
      <alignment vertical="center"/>
    </xf>
    <xf numFmtId="0" fontId="8"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vertical="center" wrapText="1"/>
    </xf>
    <xf numFmtId="0" fontId="17" fillId="0" borderId="0" xfId="0" applyFont="1" applyAlignment="1">
      <alignment horizontal="center"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1"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0" fontId="24" fillId="0" borderId="0" xfId="0" applyFont="1" applyFill="1" applyAlignment="1">
      <alignment vertical="center"/>
    </xf>
    <xf numFmtId="0" fontId="22" fillId="4" borderId="4" xfId="0" applyFont="1" applyFill="1" applyBorder="1" applyAlignment="1">
      <alignment horizontal="center" vertical="center" wrapText="1"/>
    </xf>
    <xf numFmtId="164" fontId="24" fillId="4" borderId="4" xfId="1" applyNumberFormat="1" applyFont="1" applyFill="1" applyBorder="1" applyAlignment="1">
      <alignment horizontal="center" vertical="center" wrapText="1"/>
    </xf>
    <xf numFmtId="0" fontId="24" fillId="4" borderId="4" xfId="0" applyNumberFormat="1" applyFont="1" applyFill="1" applyBorder="1" applyAlignment="1">
      <alignment horizontal="center" vertical="center" wrapText="1"/>
    </xf>
    <xf numFmtId="0" fontId="24" fillId="6" borderId="4" xfId="0" applyNumberFormat="1"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11" fillId="0" borderId="0" xfId="0" applyFont="1" applyAlignment="1">
      <alignment vertical="center"/>
    </xf>
    <xf numFmtId="0" fontId="10" fillId="0" borderId="0" xfId="0" applyFont="1" applyBorder="1" applyAlignment="1">
      <alignment horizontal="center" vertical="center"/>
    </xf>
    <xf numFmtId="0" fontId="11" fillId="0" borderId="0" xfId="0" applyFont="1" applyAlignment="1">
      <alignment vertical="center" wrapText="1"/>
    </xf>
    <xf numFmtId="0" fontId="7" fillId="0" borderId="5"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4" fontId="5" fillId="0" borderId="1" xfId="1" applyNumberFormat="1" applyFont="1" applyBorder="1" applyAlignment="1">
      <alignment horizontal="center" vertical="center" wrapText="1"/>
    </xf>
    <xf numFmtId="0" fontId="7" fillId="0" borderId="6" xfId="0" applyNumberFormat="1" applyFont="1" applyBorder="1" applyAlignment="1" applyProtection="1">
      <alignment horizontal="center" vertical="center" wrapText="1"/>
      <protection locked="0"/>
    </xf>
    <xf numFmtId="14" fontId="5" fillId="0" borderId="1" xfId="0" applyNumberFormat="1" applyFont="1" applyBorder="1" applyAlignment="1">
      <alignment horizontal="center" vertical="center"/>
    </xf>
    <xf numFmtId="0" fontId="7" fillId="0" borderId="0" xfId="0" applyFont="1" applyAlignment="1">
      <alignment horizontal="center" vertical="center"/>
    </xf>
    <xf numFmtId="164" fontId="7" fillId="0" borderId="0" xfId="1" applyNumberFormat="1" applyFont="1" applyAlignment="1">
      <alignment horizontal="center" vertical="center" wrapText="1"/>
    </xf>
    <xf numFmtId="0" fontId="7" fillId="0" borderId="0" xfId="0" applyNumberFormat="1" applyFont="1" applyFill="1" applyAlignment="1">
      <alignment horizontal="center" vertical="center" wrapText="1"/>
    </xf>
    <xf numFmtId="0" fontId="5" fillId="0" borderId="1" xfId="0" applyFont="1" applyBorder="1" applyAlignment="1">
      <alignment horizontal="center" vertical="center"/>
    </xf>
    <xf numFmtId="1"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NumberFormat="1" applyFont="1" applyFill="1" applyBorder="1" applyAlignment="1">
      <alignment horizontal="center" vertical="center"/>
    </xf>
    <xf numFmtId="0" fontId="7" fillId="0" borderId="5"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14" fillId="0" borderId="0" xfId="0" applyFont="1" applyFill="1" applyAlignment="1">
      <alignment vertical="center"/>
    </xf>
    <xf numFmtId="0" fontId="12" fillId="0" borderId="0" xfId="0" applyFont="1" applyFill="1" applyAlignment="1">
      <alignment vertical="center"/>
    </xf>
    <xf numFmtId="0" fontId="14" fillId="0" borderId="0" xfId="0"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6" fillId="0" borderId="2" xfId="0" applyFont="1" applyBorder="1" applyAlignment="1">
      <alignment horizontal="left" vertical="center"/>
    </xf>
    <xf numFmtId="0" fontId="16" fillId="0" borderId="2" xfId="0" applyFont="1" applyBorder="1" applyAlignment="1">
      <alignment horizontal="right" vertical="center"/>
    </xf>
    <xf numFmtId="0" fontId="9" fillId="0" borderId="2" xfId="0" applyFont="1" applyBorder="1" applyAlignment="1">
      <alignment horizontal="right" vertical="center" wrapText="1"/>
    </xf>
    <xf numFmtId="0" fontId="9" fillId="0" borderId="0" xfId="0" applyFont="1" applyBorder="1" applyAlignment="1">
      <alignment horizontal="right" vertical="center" wrapText="1"/>
    </xf>
    <xf numFmtId="0" fontId="10" fillId="2" borderId="0" xfId="0" applyFont="1" applyFill="1" applyAlignment="1">
      <alignment horizontal="left" vertical="center" wrapText="1"/>
    </xf>
    <xf numFmtId="0" fontId="10" fillId="2" borderId="0" xfId="0" applyFont="1" applyFill="1" applyAlignment="1">
      <alignment horizontal="right" vertical="center" wrapText="1"/>
    </xf>
    <xf numFmtId="165" fontId="10" fillId="2" borderId="0" xfId="3" applyNumberFormat="1" applyFont="1" applyFill="1" applyAlignment="1">
      <alignment horizontal="right" vertical="center" wrapText="1"/>
    </xf>
    <xf numFmtId="3" fontId="10" fillId="2" borderId="3" xfId="0" applyNumberFormat="1" applyFont="1" applyFill="1" applyBorder="1" applyAlignment="1">
      <alignment horizontal="right" vertical="center" wrapText="1"/>
    </xf>
    <xf numFmtId="166" fontId="10" fillId="2" borderId="0" xfId="2" applyNumberFormat="1" applyFont="1" applyFill="1" applyAlignment="1">
      <alignment horizontal="right" vertical="center"/>
    </xf>
    <xf numFmtId="166" fontId="10" fillId="2" borderId="3" xfId="2" applyNumberFormat="1" applyFont="1" applyFill="1" applyBorder="1" applyAlignment="1">
      <alignment horizontal="right" vertical="center" wrapText="1"/>
    </xf>
    <xf numFmtId="0" fontId="10" fillId="0" borderId="0" xfId="0" applyFont="1" applyAlignment="1">
      <alignment horizontal="left" vertical="center" wrapText="1"/>
    </xf>
    <xf numFmtId="0" fontId="10" fillId="0" borderId="0" xfId="0" applyFont="1" applyAlignment="1">
      <alignment horizontal="right" vertical="center" wrapText="1"/>
    </xf>
    <xf numFmtId="165" fontId="10" fillId="0" borderId="0" xfId="3" applyNumberFormat="1" applyFont="1" applyAlignment="1">
      <alignment horizontal="right" vertical="center" wrapText="1"/>
    </xf>
    <xf numFmtId="3" fontId="10" fillId="0" borderId="0" xfId="0" applyNumberFormat="1" applyFont="1" applyBorder="1" applyAlignment="1">
      <alignment horizontal="right" vertical="center" wrapText="1"/>
    </xf>
    <xf numFmtId="166" fontId="10" fillId="0" borderId="0" xfId="2" applyNumberFormat="1" applyFont="1" applyAlignment="1">
      <alignment horizontal="right" vertical="center"/>
    </xf>
    <xf numFmtId="166" fontId="10" fillId="0" borderId="0" xfId="2" applyNumberFormat="1" applyFont="1" applyBorder="1" applyAlignment="1">
      <alignment horizontal="right" vertical="center" wrapText="1"/>
    </xf>
    <xf numFmtId="3" fontId="10" fillId="2" borderId="0" xfId="0" applyNumberFormat="1" applyFont="1" applyFill="1" applyBorder="1" applyAlignment="1">
      <alignment horizontal="right" vertical="center" wrapText="1"/>
    </xf>
    <xf numFmtId="166" fontId="10" fillId="2" borderId="0" xfId="2"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right" vertical="center" wrapText="1"/>
    </xf>
    <xf numFmtId="165" fontId="10" fillId="2" borderId="2" xfId="3"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wrapText="1"/>
    </xf>
    <xf numFmtId="166" fontId="10" fillId="2" borderId="2" xfId="2" applyNumberFormat="1" applyFont="1" applyFill="1" applyBorder="1" applyAlignment="1">
      <alignment horizontal="right" vertical="center"/>
    </xf>
    <xf numFmtId="166" fontId="10" fillId="2" borderId="2" xfId="2" applyNumberFormat="1" applyFont="1" applyFill="1" applyBorder="1" applyAlignment="1">
      <alignment horizontal="right" vertical="center" wrapText="1"/>
    </xf>
    <xf numFmtId="0" fontId="7" fillId="0" borderId="0" xfId="0" applyFont="1" applyAlignment="1">
      <alignment horizontal="right" vertical="center"/>
    </xf>
    <xf numFmtId="3" fontId="7" fillId="0" borderId="0" xfId="0" applyNumberFormat="1" applyFont="1" applyAlignment="1">
      <alignment horizontal="right" vertical="center"/>
    </xf>
    <xf numFmtId="0" fontId="7" fillId="0" borderId="0" xfId="0" applyFont="1" applyAlignment="1">
      <alignment horizontal="right" vertical="center" wrapText="1"/>
    </xf>
    <xf numFmtId="0" fontId="7" fillId="2" borderId="0" xfId="0" applyFont="1" applyFill="1" applyAlignment="1">
      <alignment horizontal="left" vertical="center" wrapText="1"/>
    </xf>
    <xf numFmtId="166" fontId="7"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166" fontId="7" fillId="0" borderId="0" xfId="2" applyNumberFormat="1" applyFont="1" applyFill="1" applyAlignment="1">
      <alignment horizontal="right" vertical="center" wrapText="1"/>
    </xf>
    <xf numFmtId="10" fontId="7" fillId="2" borderId="0" xfId="3" applyNumberFormat="1" applyFont="1" applyFill="1" applyAlignment="1">
      <alignment horizontal="right" vertical="center" wrapText="1"/>
    </xf>
    <xf numFmtId="10" fontId="7" fillId="0" borderId="0" xfId="3" applyNumberFormat="1" applyFont="1" applyFill="1" applyAlignment="1">
      <alignment horizontal="right" vertical="center" wrapText="1"/>
    </xf>
    <xf numFmtId="0" fontId="9" fillId="0" borderId="2" xfId="0" applyFont="1" applyBorder="1" applyAlignment="1">
      <alignment vertical="center"/>
    </xf>
    <xf numFmtId="0" fontId="9" fillId="0" borderId="2" xfId="0" applyFont="1" applyBorder="1" applyAlignment="1">
      <alignment horizontal="right" vertical="center"/>
    </xf>
    <xf numFmtId="0" fontId="7" fillId="2" borderId="0" xfId="0" applyFont="1" applyFill="1" applyAlignment="1">
      <alignment vertical="center"/>
    </xf>
    <xf numFmtId="0" fontId="10" fillId="2" borderId="0" xfId="0" applyFont="1" applyFill="1" applyAlignment="1">
      <alignment vertical="center" wrapText="1"/>
    </xf>
    <xf numFmtId="165" fontId="10" fillId="2" borderId="0" xfId="3" applyNumberFormat="1" applyFont="1" applyFill="1" applyAlignment="1">
      <alignment vertical="center" wrapText="1"/>
    </xf>
    <xf numFmtId="166" fontId="10" fillId="2" borderId="0" xfId="2" applyNumberFormat="1" applyFont="1" applyFill="1" applyAlignment="1">
      <alignment vertical="center" wrapText="1"/>
    </xf>
    <xf numFmtId="166" fontId="10" fillId="2" borderId="0" xfId="2" applyNumberFormat="1" applyFont="1" applyFill="1" applyAlignment="1">
      <alignment vertical="center"/>
    </xf>
    <xf numFmtId="166" fontId="7" fillId="2" borderId="0" xfId="0" applyNumberFormat="1" applyFont="1" applyFill="1" applyAlignment="1">
      <alignment vertical="center" wrapText="1"/>
    </xf>
    <xf numFmtId="165" fontId="7" fillId="0" borderId="0" xfId="0" applyNumberFormat="1" applyFont="1" applyAlignment="1">
      <alignment vertical="center"/>
    </xf>
    <xf numFmtId="166" fontId="7" fillId="0" borderId="0" xfId="2" applyNumberFormat="1" applyFont="1" applyAlignment="1">
      <alignment vertical="center"/>
    </xf>
    <xf numFmtId="3" fontId="7" fillId="0" borderId="0" xfId="0" applyNumberFormat="1" applyFont="1" applyAlignment="1">
      <alignment vertical="center"/>
    </xf>
    <xf numFmtId="166" fontId="7" fillId="0" borderId="0" xfId="0" applyNumberFormat="1" applyFont="1" applyAlignment="1">
      <alignment vertical="center" wrapText="1"/>
    </xf>
    <xf numFmtId="165" fontId="7" fillId="2" borderId="0" xfId="0" applyNumberFormat="1" applyFont="1" applyFill="1" applyAlignment="1">
      <alignment vertical="center"/>
    </xf>
    <xf numFmtId="166" fontId="7" fillId="2" borderId="0" xfId="2" applyNumberFormat="1" applyFont="1" applyFill="1" applyAlignment="1">
      <alignment vertical="center"/>
    </xf>
    <xf numFmtId="3" fontId="7" fillId="2" borderId="0" xfId="0" applyNumberFormat="1" applyFont="1" applyFill="1" applyAlignment="1">
      <alignment vertical="center"/>
    </xf>
    <xf numFmtId="166" fontId="7" fillId="2" borderId="0" xfId="0" applyNumberFormat="1" applyFont="1" applyFill="1" applyBorder="1" applyAlignment="1">
      <alignment vertical="center" wrapText="1"/>
    </xf>
    <xf numFmtId="0" fontId="7" fillId="0" borderId="2" xfId="0" applyFont="1" applyBorder="1" applyAlignment="1">
      <alignment vertical="center"/>
    </xf>
    <xf numFmtId="165" fontId="7" fillId="0" borderId="2" xfId="0" applyNumberFormat="1" applyFont="1" applyBorder="1" applyAlignment="1">
      <alignment vertical="center"/>
    </xf>
    <xf numFmtId="166" fontId="7" fillId="0" borderId="2" xfId="2" applyNumberFormat="1" applyFont="1" applyBorder="1" applyAlignment="1">
      <alignment vertical="center"/>
    </xf>
    <xf numFmtId="3" fontId="7" fillId="0" borderId="2" xfId="0" applyNumberFormat="1" applyFont="1" applyBorder="1" applyAlignment="1">
      <alignment vertical="center"/>
    </xf>
    <xf numFmtId="166" fontId="7" fillId="0" borderId="2" xfId="0" applyNumberFormat="1" applyFont="1" applyBorder="1" applyAlignment="1">
      <alignment vertical="center" wrapText="1"/>
    </xf>
    <xf numFmtId="0" fontId="7" fillId="2" borderId="0" xfId="0" applyFont="1" applyFill="1" applyAlignment="1">
      <alignment vertical="center" wrapText="1"/>
    </xf>
    <xf numFmtId="0" fontId="10" fillId="2" borderId="3" xfId="0" applyFont="1" applyFill="1" applyBorder="1" applyAlignment="1">
      <alignment vertical="center" wrapText="1"/>
    </xf>
    <xf numFmtId="0" fontId="22" fillId="0" borderId="0" xfId="0" applyFont="1" applyAlignment="1">
      <alignment vertical="center"/>
    </xf>
    <xf numFmtId="0" fontId="5" fillId="0" borderId="0" xfId="0" applyFont="1" applyAlignment="1">
      <alignment wrapText="1"/>
    </xf>
    <xf numFmtId="0" fontId="5" fillId="0" borderId="0" xfId="0" applyFont="1"/>
    <xf numFmtId="0" fontId="19" fillId="0" borderId="0" xfId="0" applyFont="1" applyBorder="1" applyAlignment="1">
      <alignment horizontal="left" vertical="center"/>
    </xf>
    <xf numFmtId="0" fontId="7" fillId="0" borderId="0" xfId="0" applyFont="1" applyBorder="1" applyAlignment="1">
      <alignment horizontal="center" vertical="center"/>
    </xf>
    <xf numFmtId="0" fontId="8" fillId="5" borderId="0" xfId="0" applyFont="1" applyFill="1" applyAlignment="1">
      <alignment horizontal="center" vertical="center"/>
    </xf>
    <xf numFmtId="0" fontId="27" fillId="4" borderId="0" xfId="0" applyFont="1" applyFill="1" applyAlignment="1">
      <alignment horizontal="left" vertical="center"/>
    </xf>
    <xf numFmtId="0" fontId="14" fillId="3" borderId="0" xfId="0" applyFont="1" applyFill="1" applyAlignment="1">
      <alignment horizontal="center" vertical="center"/>
    </xf>
  </cellXfs>
  <cellStyles count="25">
    <cellStyle name="Comma" xfId="2" builtinId="3"/>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4" xfId="24" xr:uid="{00000000-0005-0000-0000-000017000000}"/>
    <cellStyle name="Percent" xfId="3" builtinId="5"/>
  </cellStyles>
  <dxfs count="24">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numFmt numFmtId="0" formatCode="Genera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strike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9"/>
        <color theme="1"/>
        <name val="Arial"/>
        <family val="2"/>
        <scheme val="none"/>
      </font>
      <numFmt numFmtId="19" formatCode="m/d/yyyy"/>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numFmt numFmtId="164" formatCode="_(&quot;$&quot;* #,##0_);_(&quot;$&quot;* \(#,##0\);_(&quot;$&quot;* &quot;-&quot;??_);_(@_)"/>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numFmt numFmtId="164" formatCode="_(&quot;$&quot;* #,##0_);_(&quot;$&quot;* \(#,##0\);_(&quot;$&quot;* &quot;-&quot;??_);_(@_)"/>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dxf>
    <dxf>
      <border>
        <bottom style="thin">
          <color auto="1"/>
        </bottom>
      </border>
    </dxf>
    <dxf>
      <font>
        <b/>
        <i val="0"/>
        <strike val="0"/>
        <condense val="0"/>
        <extend val="0"/>
        <outline val="0"/>
        <shadow val="0"/>
        <u val="none"/>
        <vertAlign val="baseline"/>
        <sz val="9"/>
        <color theme="0"/>
        <name val="Arial"/>
        <family val="2"/>
        <scheme val="none"/>
      </font>
      <fill>
        <patternFill patternType="solid">
          <fgColor indexed="64"/>
          <bgColor rgb="FF387C04"/>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35DB86"/>
      <color rgb="FF0D304A"/>
      <color rgb="FF24AB66"/>
      <color rgb="FF377C3C"/>
      <color rgb="FFF6FB97"/>
      <color rgb="FF064E7C"/>
      <color rgb="FF377D3D"/>
      <color rgb="FF387C04"/>
      <color rgb="FFF6FB89"/>
      <color rgb="FFF3F7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1695892</xdr:colOff>
      <xdr:row>0</xdr:row>
      <xdr:rowOff>120798</xdr:rowOff>
    </xdr:from>
    <xdr:to>
      <xdr:col>2</xdr:col>
      <xdr:colOff>4207224</xdr:colOff>
      <xdr:row>0</xdr:row>
      <xdr:rowOff>974651</xdr:rowOff>
    </xdr:to>
    <xdr:pic>
      <xdr:nvPicPr>
        <xdr:cNvPr id="3" name="Picture 2">
          <a:extLst>
            <a:ext uri="{FF2B5EF4-FFF2-40B4-BE49-F238E27FC236}">
              <a16:creationId xmlns:a16="http://schemas.microsoft.com/office/drawing/2014/main" id="{ED6AD5DB-815F-C64B-96E3-D38C53B20AFC}"/>
            </a:ext>
          </a:extLst>
        </xdr:cNvPr>
        <xdr:cNvPicPr>
          <a:picLocks noChangeAspect="1"/>
        </xdr:cNvPicPr>
      </xdr:nvPicPr>
      <xdr:blipFill>
        <a:blip xmlns:r="http://schemas.openxmlformats.org/officeDocument/2006/relationships" r:embed="rId1"/>
        <a:stretch>
          <a:fillRect/>
        </a:stretch>
      </xdr:blipFill>
      <xdr:spPr>
        <a:xfrm>
          <a:off x="2641008" y="120798"/>
          <a:ext cx="2511332" cy="853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76199</xdr:colOff>
      <xdr:row>4</xdr:row>
      <xdr:rowOff>22860</xdr:rowOff>
    </xdr:from>
    <xdr:to>
      <xdr:col>15</xdr:col>
      <xdr:colOff>596704</xdr:colOff>
      <xdr:row>4</xdr:row>
      <xdr:rowOff>906780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4447519" y="563880"/>
          <a:ext cx="520505" cy="883920"/>
        </a:xfrm>
        <a:prstGeom prst="rect">
          <a:avLst/>
        </a:prstGeom>
        <a:solidFill>
          <a:srgbClr val="24AB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solidFill>
            </a:rPr>
            <a:t>A+ :</a:t>
          </a:r>
        </a:p>
        <a:p>
          <a:r>
            <a:rPr lang="en-US" sz="1000">
              <a:solidFill>
                <a:schemeClr val="bg1"/>
              </a:solidFill>
            </a:rPr>
            <a:t>A :</a:t>
          </a:r>
          <a:br>
            <a:rPr lang="en-US" sz="1000">
              <a:solidFill>
                <a:schemeClr val="bg1"/>
              </a:solidFill>
            </a:rPr>
          </a:br>
          <a:r>
            <a:rPr lang="en-US" sz="1000">
              <a:solidFill>
                <a:schemeClr val="bg1"/>
              </a:solidFill>
            </a:rPr>
            <a:t>B :</a:t>
          </a:r>
        </a:p>
        <a:p>
          <a:r>
            <a:rPr lang="en-US" sz="1000">
              <a:solidFill>
                <a:schemeClr val="bg1"/>
              </a:solidFill>
            </a:rPr>
            <a:t>C :</a:t>
          </a:r>
        </a:p>
        <a:p>
          <a:r>
            <a:rPr lang="en-US" sz="1000">
              <a:solidFill>
                <a:schemeClr val="bg1"/>
              </a:solidFill>
            </a:rPr>
            <a:t>D :</a:t>
          </a:r>
        </a:p>
      </xdr:txBody>
    </xdr:sp>
    <xdr:clientData/>
  </xdr:twoCellAnchor>
  <xdr:twoCellAnchor>
    <xdr:from>
      <xdr:col>15</xdr:col>
      <xdr:colOff>381000</xdr:colOff>
      <xdr:row>4</xdr:row>
      <xdr:rowOff>22860</xdr:rowOff>
    </xdr:from>
    <xdr:to>
      <xdr:col>16</xdr:col>
      <xdr:colOff>0</xdr:colOff>
      <xdr:row>5</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4752320" y="563880"/>
          <a:ext cx="845820" cy="899160"/>
        </a:xfrm>
        <a:prstGeom prst="rect">
          <a:avLst/>
        </a:prstGeom>
        <a:solidFill>
          <a:srgbClr val="24AB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solidFill>
            </a:rPr>
            <a:t>Score &gt; 6</a:t>
          </a:r>
        </a:p>
        <a:p>
          <a:r>
            <a:rPr lang="en-US" sz="1000">
              <a:solidFill>
                <a:schemeClr val="bg1"/>
              </a:solidFill>
              <a:effectLst/>
              <a:latin typeface="+mn-lt"/>
              <a:ea typeface="+mn-ea"/>
              <a:cs typeface="+mn-cs"/>
            </a:rPr>
            <a:t>Score</a:t>
          </a:r>
          <a:r>
            <a:rPr lang="en-US" sz="1000">
              <a:solidFill>
                <a:schemeClr val="bg1"/>
              </a:solidFill>
            </a:rPr>
            <a:t> &gt; </a:t>
          </a:r>
          <a:r>
            <a:rPr lang="en-US" sz="1000" baseline="0">
              <a:solidFill>
                <a:schemeClr val="bg1"/>
              </a:solidFill>
            </a:rPr>
            <a:t> 4</a:t>
          </a:r>
          <a:br>
            <a:rPr lang="en-US" sz="1000">
              <a:solidFill>
                <a:schemeClr val="bg1"/>
              </a:solidFill>
            </a:rPr>
          </a:br>
          <a:r>
            <a:rPr lang="en-US" sz="1000">
              <a:solidFill>
                <a:schemeClr val="bg1"/>
              </a:solidFill>
              <a:effectLst/>
              <a:latin typeface="+mn-lt"/>
              <a:ea typeface="+mn-ea"/>
              <a:cs typeface="+mn-cs"/>
            </a:rPr>
            <a:t>Score</a:t>
          </a:r>
          <a:r>
            <a:rPr lang="en-US" sz="1000" baseline="0">
              <a:solidFill>
                <a:schemeClr val="bg1"/>
              </a:solidFill>
            </a:rPr>
            <a:t> </a:t>
          </a:r>
          <a:r>
            <a:rPr lang="en-US" sz="1000">
              <a:solidFill>
                <a:schemeClr val="bg1"/>
              </a:solidFill>
            </a:rPr>
            <a:t>&gt;  3</a:t>
          </a:r>
        </a:p>
        <a:p>
          <a:r>
            <a:rPr lang="en-US" sz="1000">
              <a:solidFill>
                <a:schemeClr val="bg1"/>
              </a:solidFill>
              <a:effectLst/>
              <a:latin typeface="+mn-lt"/>
              <a:ea typeface="+mn-ea"/>
              <a:cs typeface="+mn-cs"/>
            </a:rPr>
            <a:t>Score</a:t>
          </a:r>
          <a:r>
            <a:rPr lang="en-US" sz="1000">
              <a:solidFill>
                <a:schemeClr val="bg1"/>
              </a:solidFill>
            </a:rPr>
            <a:t> &gt;  2</a:t>
          </a:r>
        </a:p>
        <a:p>
          <a:r>
            <a:rPr lang="en-US" sz="1000">
              <a:solidFill>
                <a:schemeClr val="bg1"/>
              </a:solidFill>
              <a:effectLst/>
              <a:latin typeface="+mn-lt"/>
              <a:ea typeface="+mn-ea"/>
              <a:cs typeface="+mn-cs"/>
            </a:rPr>
            <a:t>Score</a:t>
          </a:r>
          <a:r>
            <a:rPr lang="en-US" sz="1000">
              <a:solidFill>
                <a:schemeClr val="bg1"/>
              </a:solidFill>
            </a:rPr>
            <a:t> &lt; =2</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aluesTable" displayName="ValuesTable" ref="B7:P90" totalsRowShown="0" headerRowDxfId="19" dataDxfId="17" headerRowBorderDxfId="18" tableBorderDxfId="16" totalsRowBorderDxfId="15">
  <autoFilter ref="B7:P90" xr:uid="{00000000-0009-0000-0100-000001000000}"/>
  <tableColumns count="15">
    <tableColumn id="1" xr3:uid="{00000000-0010-0000-0000-000001000000}" name="_x000a_ " dataDxfId="14"/>
    <tableColumn id="2" xr3:uid="{00000000-0010-0000-0000-000002000000}" name="REVENUE_x000a_" dataDxfId="13" dataCellStyle="Currency"/>
    <tableColumn id="3" xr3:uid="{00000000-0010-0000-0000-000003000000}" name="AUM/AUA ($)_x000a_" dataDxfId="12" dataCellStyle="Currency"/>
    <tableColumn id="4" xr3:uid="{00000000-0010-0000-0000-000004000000}" name="DOB of Senior Member of HH_x000a_" dataDxfId="11" dataCellStyle="Currency"/>
    <tableColumn id="5" xr3:uid="{00000000-0010-0000-0000-000005000000}" name="Age (calculated)_x000a_" dataDxfId="10">
      <calculatedColumnFormula>IF(E8&lt;&gt;"",INT(YEARFRAC(E8,TODAY())),"")</calculatedColumnFormula>
    </tableColumn>
    <tableColumn id="6" xr3:uid="{00000000-0010-0000-0000-000006000000}" name="Total Points for Assets and Revenue (calculated)_x000a_" dataDxfId="9">
      <calculatedColumnFormula>IF(OR(D8&gt;1500000,C8&gt;15000),5,IF(OR(D8&gt;1000000,C8&gt;10000),4,IF(OR(D8&gt;500000,C8&gt;5000),3,IF(OR(D8&gt;250000,C8&gt;2500),2,IF(OR(D8&gt;100000,C8&gt;1000),1,0)))))</calculatedColumnFormula>
    </tableColumn>
    <tableColumn id="7" xr3:uid="{00000000-0010-0000-0000-000007000000}" name="Investor Lifecycle: Accumulation_x000a_or Distribution_x000a_(A /D)_x000a_" dataDxfId="8"/>
    <tableColumn id="8" xr3:uid="{00000000-0010-0000-0000-000008000000}" name="60% or More of Revenue is_x000a_Fee-Based_x000a_(Y/N)_x000a_" dataDxfId="7"/>
    <tableColumn id="9" xr3:uid="{00000000-0010-0000-0000-000009000000}" name="Probability of Significant NNA in the Next Five Years_x000a_(H, M, L)_x000a_" dataDxfId="6"/>
    <tableColumn id="10" xr3:uid="{00000000-0010-0000-0000-00000A000000}" name="Total Number of_x000a_A+ and A Referrals  That Have Converted in the Last Two Years_x000a_(#)_x000a_" dataDxfId="5"/>
    <tableColumn id="11" xr3:uid="{00000000-0010-0000-0000-00000B000000}" name="Enjoyable Relationship and Client Acts on Recommendations_x000a_(H, M, L)_x000a_" dataDxfId="4"/>
    <tableColumn id="12" xr3:uid="{00000000-0010-0000-0000-00000C000000}" name="Client Embraces Planning_x000a_(Y/N) _x000a_" dataDxfId="3"/>
    <tableColumn id="13" xr3:uid="{00000000-0010-0000-0000-00000D000000}" name="Have Relationship with Beneficiaries_x000a_(Y/N)_x000a_ " dataDxfId="2"/>
    <tableColumn id="14" xr3:uid="{00000000-0010-0000-0000-00000E000000}" name="Column1" dataDxfId="1">
      <calculatedColumnFormula>ValuesTable[[#This Row],[Total Points for Assets and Revenue (calculated)
]]+IF(I8="Yes",1,0)+IF(J8="High",0.5,IF(J8="Medium",0.25,IF(J8="Low",0)))+K8+IF(L8="High",0.25,IF(L8="Medium",0,IF(L8="Low",-0.25)))+IF(M8="Yes",1,0)+IF(N8="Yes",0.25,0)</calculatedColumnFormula>
    </tableColumn>
    <tableColumn id="15" xr3:uid="{00000000-0010-0000-0000-00000F000000}" name="Segment_x000a_'A+' Client greater 6_x000a_'A' Clients between 6 to 4_x000a__x000a_'C' Clients between 2.99 to 2_x000a_'D' Client less than 2_x000a_" dataDxfId="0">
      <calculatedColumnFormula>IF(O8&gt;6,"A+",IF(O8&gt;4,"A",IF(O8&gt;3,"B",IF(O8&gt;2,"C","D"))))</calculatedColumnFormula>
    </tableColumn>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Peak Advisor Alliance">
      <a:dk1>
        <a:srgbClr val="222222"/>
      </a:dk1>
      <a:lt1>
        <a:srgbClr val="F8F8F8"/>
      </a:lt1>
      <a:dk2>
        <a:srgbClr val="377D3D"/>
      </a:dk2>
      <a:lt2>
        <a:srgbClr val="F8F8F8"/>
      </a:lt2>
      <a:accent1>
        <a:srgbClr val="377D3D"/>
      </a:accent1>
      <a:accent2>
        <a:srgbClr val="777777"/>
      </a:accent2>
      <a:accent3>
        <a:srgbClr val="064E7C"/>
      </a:accent3>
      <a:accent4>
        <a:srgbClr val="B8CE57"/>
      </a:accent4>
      <a:accent5>
        <a:srgbClr val="E89524"/>
      </a:accent5>
      <a:accent6>
        <a:srgbClr val="DCB52B"/>
      </a:accent6>
      <a:hlink>
        <a:srgbClr val="1E7FC3"/>
      </a:hlink>
      <a:folHlink>
        <a:srgbClr val="999999"/>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D304A"/>
  </sheetPr>
  <dimension ref="A1:AD14"/>
  <sheetViews>
    <sheetView showGridLines="0" zoomScale="86" zoomScaleNormal="86" zoomScalePageLayoutView="125" workbookViewId="0">
      <selection activeCell="L2" sqref="L2"/>
    </sheetView>
  </sheetViews>
  <sheetFormatPr defaultColWidth="8.7109375" defaultRowHeight="14.25" x14ac:dyDescent="0.2"/>
  <cols>
    <col min="1" max="1" width="9.42578125" style="141" customWidth="1"/>
    <col min="2" max="2" width="3" style="141" customWidth="1"/>
    <col min="3" max="3" width="77.42578125" style="141" customWidth="1"/>
    <col min="4" max="4" width="10.42578125" style="142" customWidth="1"/>
    <col min="5" max="5" width="3.7109375" style="142" customWidth="1"/>
    <col min="6" max="6" width="9.140625" style="142" customWidth="1"/>
    <col min="7" max="16384" width="8.7109375" style="142"/>
  </cols>
  <sheetData>
    <row r="1" spans="1:30" ht="90" customHeight="1" x14ac:dyDescent="0.2"/>
    <row r="2" spans="1:30" s="19" customFormat="1" ht="35.1" customHeight="1" x14ac:dyDescent="0.25">
      <c r="A2" s="16"/>
      <c r="B2" s="16"/>
      <c r="C2" s="143" t="s">
        <v>51</v>
      </c>
      <c r="D2" s="143"/>
      <c r="E2" s="143"/>
      <c r="F2" s="143"/>
      <c r="G2" s="143"/>
      <c r="H2" s="143"/>
      <c r="I2" s="143"/>
      <c r="J2" s="143"/>
      <c r="K2" s="143"/>
      <c r="L2" s="17"/>
      <c r="M2" s="17"/>
      <c r="N2" s="20"/>
      <c r="O2" s="17"/>
      <c r="P2" s="17"/>
      <c r="Q2" s="17"/>
      <c r="R2" s="17"/>
      <c r="S2" s="17"/>
      <c r="T2" s="17"/>
      <c r="U2" s="17"/>
      <c r="V2" s="18"/>
      <c r="W2" s="18"/>
      <c r="X2" s="18"/>
      <c r="Y2" s="18"/>
      <c r="Z2" s="18"/>
      <c r="AA2" s="18"/>
      <c r="AB2" s="18"/>
      <c r="AC2" s="18"/>
      <c r="AD2" s="18"/>
    </row>
    <row r="3" spans="1:30" s="5" customFormat="1" ht="2.1" customHeight="1" x14ac:dyDescent="0.2">
      <c r="A3" s="9"/>
      <c r="B3" s="9"/>
      <c r="C3" s="14"/>
      <c r="D3" s="8"/>
      <c r="E3" s="8"/>
      <c r="F3" s="8"/>
      <c r="G3" s="8"/>
      <c r="H3" s="8"/>
      <c r="I3" s="8"/>
      <c r="J3" s="8"/>
      <c r="K3" s="8"/>
      <c r="L3" s="8"/>
      <c r="M3" s="8"/>
      <c r="N3" s="8"/>
      <c r="O3" s="8"/>
      <c r="P3" s="8"/>
      <c r="Q3" s="8"/>
      <c r="R3" s="8"/>
      <c r="S3" s="8"/>
      <c r="T3" s="3"/>
      <c r="U3" s="4"/>
      <c r="V3" s="4"/>
      <c r="W3" s="4"/>
      <c r="X3" s="4"/>
      <c r="Y3" s="4"/>
      <c r="Z3" s="4"/>
      <c r="AA3" s="4"/>
      <c r="AB3" s="4"/>
      <c r="AC3" s="4"/>
    </row>
    <row r="4" spans="1:30" s="5" customFormat="1" ht="14.1" customHeight="1" x14ac:dyDescent="0.2">
      <c r="A4" s="9"/>
      <c r="B4" s="9"/>
      <c r="C4" s="6"/>
      <c r="D4" s="8"/>
      <c r="E4" s="8"/>
      <c r="F4" s="8"/>
      <c r="G4" s="8"/>
      <c r="H4" s="8"/>
      <c r="I4" s="8"/>
      <c r="J4" s="8"/>
      <c r="K4" s="8"/>
      <c r="L4" s="8"/>
      <c r="M4" s="8"/>
      <c r="N4" s="8"/>
      <c r="O4" s="8"/>
      <c r="P4" s="8"/>
      <c r="Q4" s="8"/>
      <c r="R4" s="8"/>
      <c r="S4" s="8"/>
      <c r="T4" s="3"/>
      <c r="U4" s="4"/>
      <c r="V4" s="4"/>
      <c r="W4" s="4"/>
      <c r="X4" s="4"/>
      <c r="Y4" s="4"/>
      <c r="Z4" s="4"/>
      <c r="AA4" s="4"/>
      <c r="AB4" s="4"/>
      <c r="AC4" s="4"/>
    </row>
    <row r="5" spans="1:30" ht="81.599999999999994" customHeight="1" x14ac:dyDescent="0.6">
      <c r="A5" s="15">
        <v>1</v>
      </c>
      <c r="B5" s="10"/>
      <c r="C5" s="12" t="s">
        <v>72</v>
      </c>
    </row>
    <row r="6" spans="1:30" ht="19.350000000000001" customHeight="1" x14ac:dyDescent="0.6">
      <c r="A6" s="11"/>
      <c r="B6" s="10"/>
      <c r="C6" s="12" t="s">
        <v>65</v>
      </c>
    </row>
    <row r="7" spans="1:30" ht="116.1" customHeight="1" x14ac:dyDescent="0.6">
      <c r="A7" s="10"/>
      <c r="B7" s="10"/>
      <c r="C7" s="13" t="s">
        <v>79</v>
      </c>
    </row>
    <row r="8" spans="1:30" ht="71.45" customHeight="1" x14ac:dyDescent="0.6">
      <c r="A8" s="15">
        <v>2</v>
      </c>
      <c r="B8" s="10"/>
      <c r="C8" s="12" t="s">
        <v>73</v>
      </c>
    </row>
    <row r="9" spans="1:30" ht="309" customHeight="1" x14ac:dyDescent="0.6">
      <c r="A9" s="11"/>
      <c r="B9" s="10"/>
      <c r="C9" s="12" t="s">
        <v>77</v>
      </c>
    </row>
    <row r="10" spans="1:30" ht="74.45" customHeight="1" x14ac:dyDescent="0.2">
      <c r="A10" s="15">
        <v>3</v>
      </c>
      <c r="B10" s="11"/>
      <c r="C10" s="12" t="s">
        <v>66</v>
      </c>
    </row>
    <row r="12" spans="1:30" ht="45" x14ac:dyDescent="0.2">
      <c r="A12" s="15">
        <v>4</v>
      </c>
      <c r="B12" s="11">
        <v>3</v>
      </c>
      <c r="C12" s="12" t="s">
        <v>71</v>
      </c>
    </row>
    <row r="14" spans="1:30" ht="83.45" customHeight="1" x14ac:dyDescent="0.2">
      <c r="A14" s="15">
        <v>5</v>
      </c>
      <c r="C14" s="12" t="s">
        <v>75</v>
      </c>
    </row>
  </sheetData>
  <mergeCells count="1">
    <mergeCell ref="C2:K2"/>
  </mergeCells>
  <phoneticPr fontId="2" type="noConversion"/>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24AB66"/>
    <pageSetUpPr autoPageBreaks="0" fitToPage="1"/>
  </sheetPr>
  <dimension ref="A1:Z90"/>
  <sheetViews>
    <sheetView showGridLines="0" tabSelected="1" zoomScale="110" zoomScaleNormal="110" zoomScalePageLayoutView="150" workbookViewId="0">
      <pane xSplit="2" ySplit="6" topLeftCell="C12" activePane="bottomRight" state="frozen"/>
      <selection pane="topRight" activeCell="C1" sqref="C1"/>
      <selection pane="bottomLeft" activeCell="A7" sqref="A7"/>
      <selection pane="bottomRight" activeCell="B1" sqref="B1:P27"/>
    </sheetView>
  </sheetViews>
  <sheetFormatPr defaultColWidth="8.7109375" defaultRowHeight="12" x14ac:dyDescent="0.25"/>
  <cols>
    <col min="1" max="1" width="2.7109375" style="19" customWidth="1"/>
    <col min="2" max="2" width="26.140625" style="67" customWidth="1"/>
    <col min="3" max="3" width="12.28515625" style="68" customWidth="1"/>
    <col min="4" max="4" width="15.5703125" style="68" customWidth="1"/>
    <col min="5" max="5" width="15" style="17" customWidth="1"/>
    <col min="6" max="6" width="10" style="36" customWidth="1"/>
    <col min="7" max="7" width="11.42578125" style="69" customWidth="1"/>
    <col min="8" max="8" width="13.28515625" style="17" customWidth="1"/>
    <col min="9" max="9" width="14" style="17" customWidth="1"/>
    <col min="10" max="10" width="15.42578125" style="20" customWidth="1"/>
    <col min="11" max="11" width="18" style="17" customWidth="1"/>
    <col min="12" max="12" width="17.42578125" style="17" customWidth="1"/>
    <col min="13" max="13" width="10.42578125" style="17" customWidth="1"/>
    <col min="14" max="14" width="13.140625" style="17" customWidth="1"/>
    <col min="15" max="15" width="8.7109375" style="17"/>
    <col min="16" max="16" width="17.85546875" style="17" customWidth="1"/>
    <col min="17" max="17" width="3.28515625" style="17" customWidth="1"/>
    <col min="18" max="26" width="8.7109375" style="18"/>
    <col min="27" max="16384" width="8.7109375" style="19"/>
  </cols>
  <sheetData>
    <row r="1" spans="1:26" ht="39.950000000000003" customHeight="1" x14ac:dyDescent="0.25">
      <c r="B1" s="143" t="s">
        <v>67</v>
      </c>
      <c r="C1" s="143"/>
      <c r="D1" s="143"/>
      <c r="E1" s="143"/>
      <c r="F1" s="143"/>
      <c r="G1" s="143"/>
      <c r="H1" s="143"/>
      <c r="I1" s="143"/>
      <c r="J1" s="143"/>
      <c r="K1" s="143"/>
      <c r="L1" s="143"/>
      <c r="M1" s="143"/>
      <c r="N1" s="143"/>
      <c r="O1" s="143"/>
      <c r="P1" s="143"/>
    </row>
    <row r="2" spans="1:26" ht="2.1" customHeight="1" x14ac:dyDescent="0.25">
      <c r="B2" s="145"/>
      <c r="C2" s="145"/>
      <c r="D2" s="145"/>
      <c r="E2" s="145"/>
      <c r="F2" s="145"/>
      <c r="G2" s="145"/>
      <c r="H2" s="145"/>
      <c r="I2" s="145"/>
      <c r="J2" s="145"/>
      <c r="K2" s="145"/>
      <c r="L2" s="145"/>
      <c r="M2" s="145"/>
      <c r="N2" s="145"/>
      <c r="O2" s="145"/>
      <c r="P2" s="145"/>
    </row>
    <row r="3" spans="1:26" s="34" customFormat="1" ht="11.1" customHeight="1" x14ac:dyDescent="0.25">
      <c r="B3" s="35"/>
      <c r="C3" s="35"/>
      <c r="D3" s="35"/>
      <c r="E3" s="35"/>
      <c r="F3" s="35"/>
      <c r="G3" s="35"/>
      <c r="H3" s="35"/>
      <c r="I3" s="35"/>
      <c r="J3" s="35"/>
      <c r="K3" s="35"/>
      <c r="L3" s="35"/>
      <c r="M3" s="35"/>
      <c r="N3" s="35"/>
      <c r="O3" s="35"/>
      <c r="P3" s="35"/>
      <c r="Q3" s="36"/>
      <c r="R3" s="37"/>
      <c r="S3" s="37"/>
      <c r="T3" s="37"/>
      <c r="U3" s="37"/>
      <c r="V3" s="37"/>
      <c r="W3" s="37"/>
      <c r="X3" s="37"/>
      <c r="Y3" s="37"/>
      <c r="Z3" s="37"/>
    </row>
    <row r="4" spans="1:26" s="38" customFormat="1" ht="27" hidden="1" customHeight="1" x14ac:dyDescent="0.25">
      <c r="B4" s="144"/>
      <c r="C4" s="144"/>
      <c r="D4" s="144"/>
      <c r="E4" s="144"/>
      <c r="F4" s="144"/>
      <c r="G4" s="144"/>
      <c r="H4" s="39"/>
      <c r="I4" s="39"/>
      <c r="J4" s="40"/>
      <c r="K4" s="39"/>
      <c r="L4" s="39"/>
      <c r="M4" s="39"/>
      <c r="N4" s="39"/>
      <c r="O4" s="39"/>
      <c r="P4" s="39"/>
      <c r="Q4" s="39"/>
      <c r="R4" s="41"/>
      <c r="S4" s="41"/>
      <c r="T4" s="41"/>
      <c r="U4" s="41"/>
      <c r="V4" s="41"/>
      <c r="W4" s="41"/>
      <c r="X4" s="41"/>
      <c r="Y4" s="41"/>
      <c r="Z4" s="41"/>
    </row>
    <row r="5" spans="1:26" s="42" customFormat="1" ht="72.599999999999994" customHeight="1" x14ac:dyDescent="0.25">
      <c r="B5" s="43" t="s">
        <v>52</v>
      </c>
      <c r="C5" s="44" t="s">
        <v>7</v>
      </c>
      <c r="D5" s="44" t="s">
        <v>53</v>
      </c>
      <c r="E5" s="44" t="s">
        <v>42</v>
      </c>
      <c r="F5" s="45" t="s">
        <v>54</v>
      </c>
      <c r="G5" s="45" t="s">
        <v>64</v>
      </c>
      <c r="H5" s="46" t="s">
        <v>62</v>
      </c>
      <c r="I5" s="46" t="s">
        <v>78</v>
      </c>
      <c r="J5" s="47" t="s">
        <v>68</v>
      </c>
      <c r="K5" s="46" t="s">
        <v>74</v>
      </c>
      <c r="L5" s="46" t="s">
        <v>61</v>
      </c>
      <c r="M5" s="46" t="s">
        <v>59</v>
      </c>
      <c r="N5" s="46" t="s">
        <v>70</v>
      </c>
      <c r="O5" s="45" t="s">
        <v>63</v>
      </c>
      <c r="P5" s="48"/>
    </row>
    <row r="6" spans="1:26" s="2" customFormat="1" ht="23.1" customHeight="1" x14ac:dyDescent="0.25">
      <c r="B6" s="21"/>
      <c r="C6" s="22" t="s">
        <v>41</v>
      </c>
      <c r="D6" s="22" t="s">
        <v>41</v>
      </c>
      <c r="E6" s="22" t="s">
        <v>69</v>
      </c>
      <c r="F6" s="24" t="s">
        <v>55</v>
      </c>
      <c r="G6" s="24" t="s">
        <v>55</v>
      </c>
      <c r="H6" s="25" t="s">
        <v>56</v>
      </c>
      <c r="I6" s="25" t="s">
        <v>58</v>
      </c>
      <c r="J6" s="26" t="s">
        <v>57</v>
      </c>
      <c r="K6" s="25" t="s">
        <v>60</v>
      </c>
      <c r="L6" s="26" t="s">
        <v>57</v>
      </c>
      <c r="M6" s="25" t="s">
        <v>58</v>
      </c>
      <c r="N6" s="25" t="s">
        <v>58</v>
      </c>
      <c r="O6" s="24" t="s">
        <v>55</v>
      </c>
      <c r="P6" s="23" t="s">
        <v>0</v>
      </c>
      <c r="Q6" s="1"/>
      <c r="R6" s="1"/>
      <c r="S6" s="1"/>
      <c r="T6" s="1"/>
      <c r="U6" s="1"/>
      <c r="V6" s="1"/>
      <c r="W6" s="1"/>
      <c r="X6" s="1"/>
      <c r="Y6" s="1"/>
      <c r="Z6" s="1"/>
    </row>
    <row r="7" spans="1:26" s="58" customFormat="1" ht="121.5" customHeight="1" x14ac:dyDescent="0.25">
      <c r="A7" s="49"/>
      <c r="B7" s="50" t="s">
        <v>46</v>
      </c>
      <c r="C7" s="51" t="s">
        <v>44</v>
      </c>
      <c r="D7" s="51" t="s">
        <v>31</v>
      </c>
      <c r="E7" s="52" t="s">
        <v>32</v>
      </c>
      <c r="F7" s="53" t="s">
        <v>33</v>
      </c>
      <c r="G7" s="53" t="s">
        <v>34</v>
      </c>
      <c r="H7" s="54" t="s">
        <v>35</v>
      </c>
      <c r="I7" s="55" t="s">
        <v>36</v>
      </c>
      <c r="J7" s="55" t="s">
        <v>37</v>
      </c>
      <c r="K7" s="55" t="s">
        <v>38</v>
      </c>
      <c r="L7" s="55" t="s">
        <v>39</v>
      </c>
      <c r="M7" s="55" t="s">
        <v>40</v>
      </c>
      <c r="N7" s="55" t="s">
        <v>47</v>
      </c>
      <c r="O7" s="27" t="s">
        <v>43</v>
      </c>
      <c r="P7" s="28" t="s">
        <v>80</v>
      </c>
      <c r="Q7" s="56"/>
      <c r="R7" s="57"/>
      <c r="S7" s="57"/>
      <c r="T7" s="57"/>
      <c r="U7" s="57"/>
      <c r="V7" s="57"/>
      <c r="W7" s="57"/>
      <c r="X7" s="57"/>
      <c r="Y7" s="57"/>
      <c r="Z7" s="57"/>
    </row>
    <row r="8" spans="1:26" s="59" customFormat="1" ht="20.100000000000001" customHeight="1" x14ac:dyDescent="0.25">
      <c r="A8" s="19"/>
      <c r="B8" s="70">
        <v>1</v>
      </c>
      <c r="C8" s="64">
        <v>201175</v>
      </c>
      <c r="D8" s="64">
        <v>12362987</v>
      </c>
      <c r="E8" s="66">
        <v>9729</v>
      </c>
      <c r="F8" s="71">
        <f t="shared" ref="F8:F39" ca="1" si="0">IF(E8&lt;&gt;"",INT(YEARFRAC(E8,TODAY())),"")</f>
        <v>93</v>
      </c>
      <c r="G8" s="72">
        <f t="shared" ref="G8:G39" si="1">IF(OR(D8&gt;1500000,C8&gt;15000),5,IF(OR(D8&gt;1000000,C8&gt;10000),4,IF(OR(D8&gt;500000,C8&gt;5000),3,IF(OR(D8&gt;250000,C8&gt;2500),2,IF(OR(D8&gt;100000,C8&gt;1000),1,0)))))</f>
        <v>5</v>
      </c>
      <c r="H8" s="73" t="s">
        <v>24</v>
      </c>
      <c r="I8" s="74" t="s">
        <v>25</v>
      </c>
      <c r="J8" s="63" t="s">
        <v>27</v>
      </c>
      <c r="K8" s="74">
        <v>3</v>
      </c>
      <c r="L8" s="63" t="s">
        <v>28</v>
      </c>
      <c r="M8" s="74" t="s">
        <v>25</v>
      </c>
      <c r="N8" s="74" t="s">
        <v>25</v>
      </c>
      <c r="O8" s="74">
        <f>ValuesTable[[#This Row],[Total Points for Assets and Revenue (calculated)
]]+IF(I8="Yes",1,0)+IF(J8="High",0.5,IF(J8="Medium",0.25,IF(J8="Low",0)))+K8+IF(L8="High",0.25,IF(L8="Medium",0,IF(L8="Low",-0.25)))+IF(M8="Yes",1,0)+IF(N8="Yes",0.25,0)</f>
        <v>10.75</v>
      </c>
      <c r="P8" s="75" t="str">
        <f t="shared" ref="P8:P39" si="2">IF(O8&gt;6,"A+",IF(O8&gt;4,"A",IF(O8&gt;3,"B",IF(O8&gt;2,"C","D"))))</f>
        <v>A+</v>
      </c>
      <c r="Q8" s="60"/>
      <c r="R8" s="61"/>
      <c r="S8" s="61"/>
      <c r="T8" s="61"/>
      <c r="U8" s="61"/>
      <c r="V8" s="61"/>
      <c r="W8" s="61"/>
      <c r="X8" s="61"/>
      <c r="Y8" s="61"/>
      <c r="Z8" s="61"/>
    </row>
    <row r="9" spans="1:26" ht="20.100000000000001" customHeight="1" x14ac:dyDescent="0.25">
      <c r="B9" s="70">
        <v>2</v>
      </c>
      <c r="C9" s="64"/>
      <c r="D9" s="64">
        <v>10880073</v>
      </c>
      <c r="E9" s="66">
        <v>10264</v>
      </c>
      <c r="F9" s="71">
        <f t="shared" ca="1" si="0"/>
        <v>92</v>
      </c>
      <c r="G9" s="76">
        <f t="shared" si="1"/>
        <v>5</v>
      </c>
      <c r="H9" s="74" t="s">
        <v>30</v>
      </c>
      <c r="I9" s="74" t="s">
        <v>26</v>
      </c>
      <c r="J9" s="62" t="s">
        <v>28</v>
      </c>
      <c r="K9" s="74">
        <v>1</v>
      </c>
      <c r="L9" s="63" t="s">
        <v>29</v>
      </c>
      <c r="M9" s="74" t="s">
        <v>26</v>
      </c>
      <c r="N9" s="74" t="s">
        <v>25</v>
      </c>
      <c r="O9" s="77">
        <f>ValuesTable[[#This Row],[Total Points for Assets and Revenue (calculated)
]]+IF(I9="Yes",1,0)+IF(J9="High",0.5,IF(J9="Medium",0.25,IF(J9="Low",0)))+K9+IF(L9="High",0.25,IF(L9="Medium",0,IF(L9="Low",-0.25)))+IF(M9="Yes",1,0)+IF(N9="Yes",0.25,0)</f>
        <v>6.25</v>
      </c>
      <c r="P9" s="75" t="str">
        <f t="shared" si="2"/>
        <v>A+</v>
      </c>
    </row>
    <row r="10" spans="1:26" ht="20.100000000000001" customHeight="1" x14ac:dyDescent="0.25">
      <c r="B10" s="70">
        <v>3</v>
      </c>
      <c r="C10" s="64">
        <v>54690.6</v>
      </c>
      <c r="D10" s="64">
        <v>9689279.0199999996</v>
      </c>
      <c r="E10" s="66">
        <v>20087</v>
      </c>
      <c r="F10" s="71">
        <f t="shared" ca="1" si="0"/>
        <v>65</v>
      </c>
      <c r="G10" s="76">
        <f t="shared" si="1"/>
        <v>5</v>
      </c>
      <c r="H10" s="74" t="s">
        <v>24</v>
      </c>
      <c r="I10" s="74" t="s">
        <v>25</v>
      </c>
      <c r="J10" s="62" t="s">
        <v>29</v>
      </c>
      <c r="K10" s="74">
        <v>0</v>
      </c>
      <c r="L10" s="63" t="s">
        <v>28</v>
      </c>
      <c r="M10" s="74" t="s">
        <v>25</v>
      </c>
      <c r="N10" s="74" t="s">
        <v>26</v>
      </c>
      <c r="O10" s="77">
        <f>ValuesTable[[#This Row],[Total Points for Assets and Revenue (calculated)
]]+IF(I10="Yes",1,0)+IF(J10="High",0.5,IF(J10="Medium",0.25,IF(J10="Low",0)))+K10+IF(L10="High",0.25,IF(L10="Medium",0,IF(L10="Low",-0.25)))+IF(M10="Yes",1,0)+IF(N10="Yes",0.25,0)</f>
        <v>7</v>
      </c>
      <c r="P10" s="75" t="str">
        <f t="shared" si="2"/>
        <v>A+</v>
      </c>
    </row>
    <row r="11" spans="1:26" ht="20.100000000000001" customHeight="1" x14ac:dyDescent="0.25">
      <c r="B11" s="70">
        <v>4</v>
      </c>
      <c r="C11" s="64">
        <v>50384.84</v>
      </c>
      <c r="D11" s="64"/>
      <c r="E11" s="66">
        <v>22301</v>
      </c>
      <c r="F11" s="71">
        <f t="shared" ca="1" si="0"/>
        <v>59</v>
      </c>
      <c r="G11" s="76">
        <f t="shared" si="1"/>
        <v>5</v>
      </c>
      <c r="H11" s="74" t="s">
        <v>30</v>
      </c>
      <c r="I11" s="74"/>
      <c r="J11" s="62"/>
      <c r="K11" s="74"/>
      <c r="L11" s="63"/>
      <c r="M11" s="74"/>
      <c r="N11" s="74"/>
      <c r="O11" s="77">
        <f>ValuesTable[[#This Row],[Total Points for Assets and Revenue (calculated)
]]+IF(I11="Yes",1,0)+IF(J11="High",0.5,IF(J11="Medium",0.25,IF(J11="Low",0)))+K11+IF(L11="High",0.25,IF(L11="Medium",0,IF(L11="Low",-0.25)))+IF(M11="Yes",1,0)+IF(N11="Yes",0.25,0)</f>
        <v>5</v>
      </c>
      <c r="P11" s="75" t="str">
        <f t="shared" si="2"/>
        <v>A</v>
      </c>
    </row>
    <row r="12" spans="1:26" ht="20.100000000000001" customHeight="1" x14ac:dyDescent="0.25">
      <c r="B12" s="70">
        <v>5</v>
      </c>
      <c r="C12" s="64">
        <v>36688.36</v>
      </c>
      <c r="D12" s="64">
        <v>5290842</v>
      </c>
      <c r="E12" s="66">
        <v>9074</v>
      </c>
      <c r="F12" s="71">
        <f t="shared" ca="1" si="0"/>
        <v>95</v>
      </c>
      <c r="G12" s="76">
        <f t="shared" si="1"/>
        <v>5</v>
      </c>
      <c r="H12" s="74" t="s">
        <v>24</v>
      </c>
      <c r="I12" s="74"/>
      <c r="J12" s="62"/>
      <c r="K12" s="74"/>
      <c r="L12" s="63"/>
      <c r="M12" s="74"/>
      <c r="N12" s="74"/>
      <c r="O12" s="77">
        <f>ValuesTable[[#This Row],[Total Points for Assets and Revenue (calculated)
]]+IF(I12="Yes",1,0)+IF(J12="High",0.5,IF(J12="Medium",0.25,IF(J12="Low",0)))+K12+IF(L12="High",0.25,IF(L12="Medium",0,IF(L12="Low",-0.25)))+IF(M12="Yes",1,0)+IF(N12="Yes",0.25,0)</f>
        <v>5</v>
      </c>
      <c r="P12" s="75" t="str">
        <f t="shared" si="2"/>
        <v>A</v>
      </c>
    </row>
    <row r="13" spans="1:26" ht="20.100000000000001" customHeight="1" x14ac:dyDescent="0.25">
      <c r="B13" s="70">
        <v>6</v>
      </c>
      <c r="C13" s="64">
        <v>42454.28</v>
      </c>
      <c r="D13" s="64">
        <v>4280717</v>
      </c>
      <c r="E13" s="66"/>
      <c r="F13" s="71" t="str">
        <f t="shared" ca="1" si="0"/>
        <v/>
      </c>
      <c r="G13" s="76">
        <f t="shared" si="1"/>
        <v>5</v>
      </c>
      <c r="H13" s="74" t="s">
        <v>30</v>
      </c>
      <c r="I13" s="74"/>
      <c r="J13" s="62"/>
      <c r="K13" s="74"/>
      <c r="L13" s="63"/>
      <c r="M13" s="74"/>
      <c r="N13" s="74"/>
      <c r="O13" s="77">
        <f>ValuesTable[[#This Row],[Total Points for Assets and Revenue (calculated)
]]+IF(I13="Yes",1,0)+IF(J13="High",0.5,IF(J13="Medium",0.25,IF(J13="Low",0)))+K13+IF(L13="High",0.25,IF(L13="Medium",0,IF(L13="Low",-0.25)))+IF(M13="Yes",1,0)+IF(N13="Yes",0.25,0)</f>
        <v>5</v>
      </c>
      <c r="P13" s="75" t="str">
        <f t="shared" si="2"/>
        <v>A</v>
      </c>
    </row>
    <row r="14" spans="1:26" ht="20.100000000000001" customHeight="1" x14ac:dyDescent="0.25">
      <c r="B14" s="70">
        <v>7</v>
      </c>
      <c r="C14" s="64">
        <v>32390.720000000001</v>
      </c>
      <c r="D14" s="64">
        <v>4224678</v>
      </c>
      <c r="E14" s="66">
        <v>18317</v>
      </c>
      <c r="F14" s="71">
        <f t="shared" ca="1" si="0"/>
        <v>70</v>
      </c>
      <c r="G14" s="76">
        <f t="shared" si="1"/>
        <v>5</v>
      </c>
      <c r="H14" s="74" t="s">
        <v>30</v>
      </c>
      <c r="I14" s="74"/>
      <c r="J14" s="62"/>
      <c r="K14" s="74"/>
      <c r="L14" s="63"/>
      <c r="M14" s="74"/>
      <c r="N14" s="74"/>
      <c r="O14" s="77">
        <f>ValuesTable[[#This Row],[Total Points for Assets and Revenue (calculated)
]]+IF(I14="Yes",1,0)+IF(J14="High",0.5,IF(J14="Medium",0.25,IF(J14="Low",0)))+K14+IF(L14="High",0.25,IF(L14="Medium",0,IF(L14="Low",-0.25)))+IF(M14="Yes",1,0)+IF(N14="Yes",0.25,0)</f>
        <v>5</v>
      </c>
      <c r="P14" s="75" t="str">
        <f t="shared" si="2"/>
        <v>A</v>
      </c>
    </row>
    <row r="15" spans="1:26" ht="20.100000000000001" customHeight="1" x14ac:dyDescent="0.25">
      <c r="B15" s="70">
        <v>8</v>
      </c>
      <c r="C15" s="64">
        <v>34447.800000000003</v>
      </c>
      <c r="D15" s="64">
        <v>3632913</v>
      </c>
      <c r="E15" s="66">
        <v>19113</v>
      </c>
      <c r="F15" s="71">
        <f t="shared" ca="1" si="0"/>
        <v>68</v>
      </c>
      <c r="G15" s="76">
        <f t="shared" si="1"/>
        <v>5</v>
      </c>
      <c r="H15" s="74"/>
      <c r="I15" s="74"/>
      <c r="J15" s="62"/>
      <c r="K15" s="74"/>
      <c r="L15" s="63"/>
      <c r="M15" s="74"/>
      <c r="N15" s="74"/>
      <c r="O15" s="77">
        <f>ValuesTable[[#This Row],[Total Points for Assets and Revenue (calculated)
]]+IF(I15="Yes",1,0)+IF(J15="High",0.5,IF(J15="Medium",0.25,IF(J15="Low",0)))+K15+IF(L15="High",0.25,IF(L15="Medium",0,IF(L15="Low",-0.25)))+IF(M15="Yes",1,0)+IF(N15="Yes",0.25,0)</f>
        <v>5</v>
      </c>
      <c r="P15" s="75" t="str">
        <f t="shared" si="2"/>
        <v>A</v>
      </c>
    </row>
    <row r="16" spans="1:26" ht="20.100000000000001" customHeight="1" x14ac:dyDescent="0.25">
      <c r="B16" s="70">
        <v>9</v>
      </c>
      <c r="C16" s="64">
        <v>16048.08</v>
      </c>
      <c r="D16" s="64">
        <v>3543476</v>
      </c>
      <c r="E16" s="66">
        <v>22495</v>
      </c>
      <c r="F16" s="71">
        <f t="shared" ca="1" si="0"/>
        <v>58</v>
      </c>
      <c r="G16" s="76">
        <f t="shared" si="1"/>
        <v>5</v>
      </c>
      <c r="H16" s="74" t="s">
        <v>24</v>
      </c>
      <c r="I16" s="74"/>
      <c r="J16" s="62"/>
      <c r="K16" s="74"/>
      <c r="L16" s="63"/>
      <c r="M16" s="74"/>
      <c r="N16" s="74"/>
      <c r="O16" s="77">
        <f>ValuesTable[[#This Row],[Total Points for Assets and Revenue (calculated)
]]+IF(I16="Yes",1,0)+IF(J16="High",0.5,IF(J16="Medium",0.25,IF(J16="Low",0)))+K16+IF(L16="High",0.25,IF(L16="Medium",0,IF(L16="Low",-0.25)))+IF(M16="Yes",1,0)+IF(N16="Yes",0.25,0)</f>
        <v>5</v>
      </c>
      <c r="P16" s="75" t="str">
        <f t="shared" si="2"/>
        <v>A</v>
      </c>
    </row>
    <row r="17" spans="2:16" ht="20.100000000000001" customHeight="1" x14ac:dyDescent="0.25">
      <c r="B17" s="70">
        <v>10</v>
      </c>
      <c r="C17" s="64">
        <v>37602</v>
      </c>
      <c r="D17" s="64">
        <v>3124956</v>
      </c>
      <c r="E17" s="66">
        <v>18747</v>
      </c>
      <c r="F17" s="71">
        <f t="shared" ca="1" si="0"/>
        <v>69</v>
      </c>
      <c r="G17" s="76">
        <f t="shared" si="1"/>
        <v>5</v>
      </c>
      <c r="H17" s="74" t="s">
        <v>30</v>
      </c>
      <c r="I17" s="74"/>
      <c r="J17" s="62"/>
      <c r="K17" s="74"/>
      <c r="L17" s="63"/>
      <c r="M17" s="74"/>
      <c r="N17" s="74"/>
      <c r="O17" s="77">
        <f>ValuesTable[[#This Row],[Total Points for Assets and Revenue (calculated)
]]+IF(I17="Yes",1,0)+IF(J17="High",0.5,IF(J17="Medium",0.25,IF(J17="Low",0)))+K17+IF(L17="High",0.25,IF(L17="Medium",0,IF(L17="Low",-0.25)))+IF(M17="Yes",1,0)+IF(N17="Yes",0.25,0)</f>
        <v>5</v>
      </c>
      <c r="P17" s="75" t="str">
        <f t="shared" si="2"/>
        <v>A</v>
      </c>
    </row>
    <row r="18" spans="2:16" ht="20.100000000000001" customHeight="1" x14ac:dyDescent="0.25">
      <c r="B18" s="70">
        <v>11</v>
      </c>
      <c r="C18" s="64">
        <v>21914.720000000001</v>
      </c>
      <c r="D18" s="64">
        <v>2426922.5699999998</v>
      </c>
      <c r="E18" s="66">
        <v>22870</v>
      </c>
      <c r="F18" s="71">
        <f t="shared" ca="1" si="0"/>
        <v>57</v>
      </c>
      <c r="G18" s="76">
        <f t="shared" si="1"/>
        <v>5</v>
      </c>
      <c r="H18" s="74" t="s">
        <v>30</v>
      </c>
      <c r="I18" s="74"/>
      <c r="J18" s="62"/>
      <c r="K18" s="74"/>
      <c r="L18" s="63"/>
      <c r="M18" s="74"/>
      <c r="N18" s="74"/>
      <c r="O18" s="77">
        <f>ValuesTable[[#This Row],[Total Points for Assets and Revenue (calculated)
]]+IF(I18="Yes",1,0)+IF(J18="High",0.5,IF(J18="Medium",0.25,IF(J18="Low",0)))+K18+IF(L18="High",0.25,IF(L18="Medium",0,IF(L18="Low",-0.25)))+IF(M18="Yes",1,0)+IF(N18="Yes",0.25,0)</f>
        <v>5</v>
      </c>
      <c r="P18" s="75" t="str">
        <f t="shared" si="2"/>
        <v>A</v>
      </c>
    </row>
    <row r="19" spans="2:16" ht="20.100000000000001" customHeight="1" x14ac:dyDescent="0.25">
      <c r="B19" s="70">
        <v>12</v>
      </c>
      <c r="C19" s="64">
        <v>18929.16</v>
      </c>
      <c r="D19" s="64">
        <v>2112615</v>
      </c>
      <c r="E19" s="66">
        <v>11777</v>
      </c>
      <c r="F19" s="71">
        <f t="shared" ca="1" si="0"/>
        <v>88</v>
      </c>
      <c r="G19" s="76">
        <f t="shared" si="1"/>
        <v>5</v>
      </c>
      <c r="H19" s="74" t="s">
        <v>30</v>
      </c>
      <c r="I19" s="74"/>
      <c r="J19" s="62"/>
      <c r="K19" s="74"/>
      <c r="L19" s="63"/>
      <c r="M19" s="74"/>
      <c r="N19" s="74"/>
      <c r="O19" s="77">
        <f>ValuesTable[[#This Row],[Total Points for Assets and Revenue (calculated)
]]+IF(I19="Yes",1,0)+IF(J19="High",0.5,IF(J19="Medium",0.25,IF(J19="Low",0)))+K19+IF(L19="High",0.25,IF(L19="Medium",0,IF(L19="Low",-0.25)))+IF(M19="Yes",1,0)+IF(N19="Yes",0.25,0)</f>
        <v>5</v>
      </c>
      <c r="P19" s="75" t="str">
        <f t="shared" si="2"/>
        <v>A</v>
      </c>
    </row>
    <row r="20" spans="2:16" ht="20.100000000000001" customHeight="1" x14ac:dyDescent="0.25">
      <c r="B20" s="70">
        <v>13</v>
      </c>
      <c r="C20" s="64">
        <v>23927</v>
      </c>
      <c r="D20" s="64">
        <v>2036227</v>
      </c>
      <c r="E20" s="66">
        <v>17921</v>
      </c>
      <c r="F20" s="71">
        <f t="shared" ca="1" si="0"/>
        <v>71</v>
      </c>
      <c r="G20" s="76">
        <f t="shared" si="1"/>
        <v>5</v>
      </c>
      <c r="H20" s="74" t="s">
        <v>30</v>
      </c>
      <c r="I20" s="74"/>
      <c r="J20" s="62"/>
      <c r="K20" s="74"/>
      <c r="L20" s="63"/>
      <c r="M20" s="74"/>
      <c r="N20" s="74"/>
      <c r="O20" s="77">
        <f>ValuesTable[[#This Row],[Total Points for Assets and Revenue (calculated)
]]+IF(I20="Yes",1,0)+IF(J20="High",0.5,IF(J20="Medium",0.25,IF(J20="Low",0)))+K20+IF(L20="High",0.25,IF(L20="Medium",0,IF(L20="Low",-0.25)))+IF(M20="Yes",1,0)+IF(N20="Yes",0.25,0)</f>
        <v>5</v>
      </c>
      <c r="P20" s="75" t="str">
        <f t="shared" si="2"/>
        <v>A</v>
      </c>
    </row>
    <row r="21" spans="2:16" ht="20.100000000000001" customHeight="1" x14ac:dyDescent="0.25">
      <c r="B21" s="70">
        <v>14</v>
      </c>
      <c r="C21" s="64">
        <v>23646</v>
      </c>
      <c r="D21" s="64">
        <v>1984567</v>
      </c>
      <c r="E21" s="66">
        <v>24993</v>
      </c>
      <c r="F21" s="71">
        <f t="shared" ca="1" si="0"/>
        <v>51</v>
      </c>
      <c r="G21" s="76">
        <f t="shared" si="1"/>
        <v>5</v>
      </c>
      <c r="H21" s="74" t="s">
        <v>30</v>
      </c>
      <c r="I21" s="74"/>
      <c r="J21" s="62"/>
      <c r="K21" s="74"/>
      <c r="L21" s="63"/>
      <c r="M21" s="74"/>
      <c r="N21" s="74"/>
      <c r="O21" s="77">
        <f>ValuesTable[[#This Row],[Total Points for Assets and Revenue (calculated)
]]+IF(I21="Yes",1,0)+IF(J21="High",0.5,IF(J21="Medium",0.25,IF(J21="Low",0)))+K21+IF(L21="High",0.25,IF(L21="Medium",0,IF(L21="Low",-0.25)))+IF(M21="Yes",1,0)+IF(N21="Yes",0.25,0)</f>
        <v>5</v>
      </c>
      <c r="P21" s="75" t="str">
        <f t="shared" si="2"/>
        <v>A</v>
      </c>
    </row>
    <row r="22" spans="2:16" ht="20.100000000000001" customHeight="1" x14ac:dyDescent="0.25">
      <c r="B22" s="70">
        <v>15</v>
      </c>
      <c r="C22" s="64">
        <v>20668</v>
      </c>
      <c r="D22" s="64">
        <v>1667066</v>
      </c>
      <c r="E22" s="66">
        <v>12290</v>
      </c>
      <c r="F22" s="71">
        <f t="shared" ca="1" si="0"/>
        <v>86</v>
      </c>
      <c r="G22" s="76">
        <f t="shared" si="1"/>
        <v>5</v>
      </c>
      <c r="H22" s="74" t="s">
        <v>30</v>
      </c>
      <c r="I22" s="74"/>
      <c r="J22" s="62"/>
      <c r="K22" s="74"/>
      <c r="L22" s="63"/>
      <c r="M22" s="74"/>
      <c r="N22" s="74"/>
      <c r="O22" s="77">
        <f>ValuesTable[[#This Row],[Total Points for Assets and Revenue (calculated)
]]+IF(I22="Yes",1,0)+IF(J22="High",0.5,IF(J22="Medium",0.25,IF(J22="Low",0)))+K22+IF(L22="High",0.25,IF(L22="Medium",0,IF(L22="Low",-0.25)))+IF(M22="Yes",1,0)+IF(N22="Yes",0.25,0)</f>
        <v>5</v>
      </c>
      <c r="P22" s="75" t="str">
        <f t="shared" si="2"/>
        <v>A</v>
      </c>
    </row>
    <row r="23" spans="2:16" ht="20.100000000000001" customHeight="1" x14ac:dyDescent="0.25">
      <c r="B23" s="70">
        <v>16</v>
      </c>
      <c r="C23" s="64">
        <v>20575</v>
      </c>
      <c r="D23" s="64">
        <v>1655655</v>
      </c>
      <c r="E23" s="66">
        <v>18838</v>
      </c>
      <c r="F23" s="71">
        <f t="shared" ca="1" si="0"/>
        <v>68</v>
      </c>
      <c r="G23" s="76">
        <f t="shared" si="1"/>
        <v>5</v>
      </c>
      <c r="H23" s="74" t="s">
        <v>30</v>
      </c>
      <c r="I23" s="74"/>
      <c r="J23" s="62"/>
      <c r="K23" s="74"/>
      <c r="L23" s="63"/>
      <c r="M23" s="74"/>
      <c r="N23" s="74"/>
      <c r="O23" s="77">
        <f>ValuesTable[[#This Row],[Total Points for Assets and Revenue (calculated)
]]+IF(I23="Yes",1,0)+IF(J23="High",0.5,IF(J23="Medium",0.25,IF(J23="Low",0)))+K23+IF(L23="High",0.25,IF(L23="Medium",0,IF(L23="Low",-0.25)))+IF(M23="Yes",1,0)+IF(N23="Yes",0.25,0)</f>
        <v>5</v>
      </c>
      <c r="P23" s="75" t="str">
        <f t="shared" si="2"/>
        <v>A</v>
      </c>
    </row>
    <row r="24" spans="2:16" ht="20.100000000000001" customHeight="1" x14ac:dyDescent="0.25">
      <c r="B24" s="70">
        <v>17</v>
      </c>
      <c r="C24" s="64">
        <v>15728</v>
      </c>
      <c r="D24" s="64">
        <v>1584171</v>
      </c>
      <c r="E24" s="66">
        <v>21311</v>
      </c>
      <c r="F24" s="71">
        <f t="shared" ca="1" si="0"/>
        <v>61</v>
      </c>
      <c r="G24" s="76">
        <f t="shared" si="1"/>
        <v>5</v>
      </c>
      <c r="H24" s="74" t="s">
        <v>24</v>
      </c>
      <c r="I24" s="78"/>
      <c r="J24" s="65"/>
      <c r="K24" s="74"/>
      <c r="L24" s="63"/>
      <c r="M24" s="74"/>
      <c r="N24" s="74"/>
      <c r="O24" s="77">
        <f>ValuesTable[[#This Row],[Total Points for Assets and Revenue (calculated)
]]+IF(I24="Yes",1,0)+IF(J24="High",0.5,IF(J24="Medium",0.25,IF(J24="Low",0)))+K24+IF(L24="High",0.25,IF(L24="Medium",0,IF(L24="Low",-0.25)))+IF(M24="Yes",1,0)+IF(N24="Yes",0.25,0)</f>
        <v>5</v>
      </c>
      <c r="P24" s="75" t="str">
        <f t="shared" si="2"/>
        <v>A</v>
      </c>
    </row>
    <row r="25" spans="2:16" ht="20.100000000000001" customHeight="1" x14ac:dyDescent="0.25">
      <c r="B25" s="70">
        <v>18</v>
      </c>
      <c r="C25" s="64">
        <v>20503</v>
      </c>
      <c r="D25" s="64">
        <v>1581668</v>
      </c>
      <c r="E25" s="66">
        <v>17617</v>
      </c>
      <c r="F25" s="71">
        <f t="shared" ca="1" si="0"/>
        <v>72</v>
      </c>
      <c r="G25" s="76">
        <f t="shared" si="1"/>
        <v>5</v>
      </c>
      <c r="H25" s="74" t="s">
        <v>24</v>
      </c>
      <c r="I25" s="74"/>
      <c r="J25" s="62"/>
      <c r="K25" s="74"/>
      <c r="L25" s="63"/>
      <c r="M25" s="74"/>
      <c r="N25" s="74"/>
      <c r="O25" s="77">
        <f>ValuesTable[[#This Row],[Total Points for Assets and Revenue (calculated)
]]+IF(I25="Yes",1,0)+IF(J25="High",0.5,IF(J25="Medium",0.25,IF(J25="Low",0)))+K25+IF(L25="High",0.25,IF(L25="Medium",0,IF(L25="Low",-0.25)))+IF(M25="Yes",1,0)+IF(N25="Yes",0.25,0)</f>
        <v>5</v>
      </c>
      <c r="P25" s="75" t="str">
        <f t="shared" si="2"/>
        <v>A</v>
      </c>
    </row>
    <row r="26" spans="2:16" ht="20.100000000000001" customHeight="1" x14ac:dyDescent="0.25">
      <c r="B26" s="70">
        <v>19</v>
      </c>
      <c r="C26" s="64">
        <v>14960</v>
      </c>
      <c r="D26" s="64">
        <v>1505491</v>
      </c>
      <c r="E26" s="66">
        <v>19766</v>
      </c>
      <c r="F26" s="71">
        <f t="shared" ca="1" si="0"/>
        <v>66</v>
      </c>
      <c r="G26" s="76">
        <f t="shared" si="1"/>
        <v>5</v>
      </c>
      <c r="H26" s="74" t="s">
        <v>24</v>
      </c>
      <c r="I26" s="74"/>
      <c r="J26" s="62"/>
      <c r="K26" s="74"/>
      <c r="L26" s="63"/>
      <c r="M26" s="74"/>
      <c r="N26" s="74"/>
      <c r="O26" s="77">
        <f>ValuesTable[[#This Row],[Total Points for Assets and Revenue (calculated)
]]+IF(I26="Yes",1,0)+IF(J26="High",0.5,IF(J26="Medium",0.25,IF(J26="Low",0)))+K26+IF(L26="High",0.25,IF(L26="Medium",0,IF(L26="Low",-0.25)))+IF(M26="Yes",1,0)+IF(N26="Yes",0.25,0)</f>
        <v>5</v>
      </c>
      <c r="P26" s="75" t="str">
        <f t="shared" si="2"/>
        <v>A</v>
      </c>
    </row>
    <row r="27" spans="2:16" ht="20.100000000000001" customHeight="1" x14ac:dyDescent="0.25">
      <c r="B27" s="70">
        <v>20</v>
      </c>
      <c r="C27" s="64">
        <v>18029</v>
      </c>
      <c r="D27" s="64">
        <v>1363754</v>
      </c>
      <c r="E27" s="66">
        <v>10423</v>
      </c>
      <c r="F27" s="71">
        <f t="shared" ca="1" si="0"/>
        <v>91</v>
      </c>
      <c r="G27" s="76">
        <f t="shared" si="1"/>
        <v>5</v>
      </c>
      <c r="H27" s="74" t="s">
        <v>24</v>
      </c>
      <c r="I27" s="74"/>
      <c r="J27" s="62"/>
      <c r="K27" s="74"/>
      <c r="L27" s="63"/>
      <c r="M27" s="74"/>
      <c r="N27" s="74"/>
      <c r="O27" s="77">
        <f>ValuesTable[[#This Row],[Total Points for Assets and Revenue (calculated)
]]+IF(I27="Yes",1,0)+IF(J27="High",0.5,IF(J27="Medium",0.25,IF(J27="Low",0)))+K27+IF(L27="High",0.25,IF(L27="Medium",0,IF(L27="Low",-0.25)))+IF(M27="Yes",1,0)+IF(N27="Yes",0.25,0)</f>
        <v>5</v>
      </c>
      <c r="P27" s="75" t="str">
        <f t="shared" si="2"/>
        <v>A</v>
      </c>
    </row>
    <row r="28" spans="2:16" ht="20.100000000000001" customHeight="1" x14ac:dyDescent="0.25">
      <c r="B28" s="70">
        <v>21</v>
      </c>
      <c r="C28" s="64">
        <v>17385</v>
      </c>
      <c r="D28" s="64">
        <v>1298114</v>
      </c>
      <c r="E28" s="66">
        <v>19412</v>
      </c>
      <c r="F28" s="71">
        <f t="shared" ca="1" si="0"/>
        <v>67</v>
      </c>
      <c r="G28" s="76">
        <f t="shared" si="1"/>
        <v>5</v>
      </c>
      <c r="H28" s="74" t="s">
        <v>24</v>
      </c>
      <c r="I28" s="74"/>
      <c r="J28" s="62"/>
      <c r="K28" s="74"/>
      <c r="L28" s="63"/>
      <c r="M28" s="74"/>
      <c r="N28" s="74"/>
      <c r="O28" s="77">
        <f>ValuesTable[[#This Row],[Total Points for Assets and Revenue (calculated)
]]+IF(I28="Yes",1,0)+IF(J28="High",0.5,IF(J28="Medium",0.25,IF(J28="Low",0)))+K28+IF(L28="High",0.25,IF(L28="Medium",0,IF(L28="Low",-0.25)))+IF(M28="Yes",1,0)+IF(N28="Yes",0.25,0)</f>
        <v>5</v>
      </c>
      <c r="P28" s="75" t="str">
        <f t="shared" si="2"/>
        <v>A</v>
      </c>
    </row>
    <row r="29" spans="2:16" ht="20.100000000000001" customHeight="1" x14ac:dyDescent="0.25">
      <c r="B29" s="70">
        <v>22</v>
      </c>
      <c r="C29" s="64">
        <v>16885</v>
      </c>
      <c r="D29" s="64">
        <v>1232180</v>
      </c>
      <c r="E29" s="66">
        <v>17468</v>
      </c>
      <c r="F29" s="71">
        <f t="shared" ca="1" si="0"/>
        <v>72</v>
      </c>
      <c r="G29" s="76">
        <f t="shared" si="1"/>
        <v>5</v>
      </c>
      <c r="H29" s="74" t="s">
        <v>24</v>
      </c>
      <c r="I29" s="74"/>
      <c r="J29" s="62"/>
      <c r="K29" s="74"/>
      <c r="L29" s="63"/>
      <c r="M29" s="74"/>
      <c r="N29" s="74"/>
      <c r="O29" s="77">
        <f>ValuesTable[[#This Row],[Total Points for Assets and Revenue (calculated)
]]+IF(I29="Yes",1,0)+IF(J29="High",0.5,IF(J29="Medium",0.25,IF(J29="Low",0)))+K29+IF(L29="High",0.25,IF(L29="Medium",0,IF(L29="Low",-0.25)))+IF(M29="Yes",1,0)+IF(N29="Yes",0.25,0)</f>
        <v>5</v>
      </c>
      <c r="P29" s="75" t="str">
        <f t="shared" si="2"/>
        <v>A</v>
      </c>
    </row>
    <row r="30" spans="2:16" ht="20.100000000000001" customHeight="1" x14ac:dyDescent="0.25">
      <c r="B30" s="70">
        <v>23</v>
      </c>
      <c r="C30" s="64">
        <v>11153</v>
      </c>
      <c r="D30" s="64">
        <v>1144112</v>
      </c>
      <c r="E30" s="66">
        <v>15620</v>
      </c>
      <c r="F30" s="71">
        <f t="shared" ca="1" si="0"/>
        <v>77</v>
      </c>
      <c r="G30" s="76">
        <f t="shared" si="1"/>
        <v>4</v>
      </c>
      <c r="H30" s="74" t="s">
        <v>30</v>
      </c>
      <c r="I30" s="74"/>
      <c r="J30" s="62"/>
      <c r="K30" s="74"/>
      <c r="L30" s="63"/>
      <c r="M30" s="74"/>
      <c r="N30" s="74"/>
      <c r="O30" s="77">
        <f>ValuesTable[[#This Row],[Total Points for Assets and Revenue (calculated)
]]+IF(I30="Yes",1,0)+IF(J30="High",0.5,IF(J30="Medium",0.25,IF(J30="Low",0)))+K30+IF(L30="High",0.25,IF(L30="Medium",0,IF(L30="Low",-0.25)))+IF(M30="Yes",1,0)+IF(N30="Yes",0.25,0)</f>
        <v>4</v>
      </c>
      <c r="P30" s="75" t="str">
        <f t="shared" si="2"/>
        <v>B</v>
      </c>
    </row>
    <row r="31" spans="2:16" ht="20.100000000000001" customHeight="1" x14ac:dyDescent="0.25">
      <c r="B31" s="70">
        <v>24</v>
      </c>
      <c r="C31" s="64">
        <v>15964</v>
      </c>
      <c r="D31" s="64">
        <v>1140068</v>
      </c>
      <c r="E31" s="66">
        <v>15619</v>
      </c>
      <c r="F31" s="71">
        <f t="shared" ca="1" si="0"/>
        <v>77</v>
      </c>
      <c r="G31" s="76">
        <f t="shared" si="1"/>
        <v>5</v>
      </c>
      <c r="H31" s="74" t="s">
        <v>30</v>
      </c>
      <c r="I31" s="74"/>
      <c r="J31" s="62"/>
      <c r="K31" s="74"/>
      <c r="L31" s="63"/>
      <c r="M31" s="74"/>
      <c r="N31" s="74"/>
      <c r="O31" s="77">
        <f>ValuesTable[[#This Row],[Total Points for Assets and Revenue (calculated)
]]+IF(I31="Yes",1,0)+IF(J31="High",0.5,IF(J31="Medium",0.25,IF(J31="Low",0)))+K31+IF(L31="High",0.25,IF(L31="Medium",0,IF(L31="Low",-0.25)))+IF(M31="Yes",1,0)+IF(N31="Yes",0.25,0)</f>
        <v>5</v>
      </c>
      <c r="P31" s="75" t="str">
        <f t="shared" si="2"/>
        <v>A</v>
      </c>
    </row>
    <row r="32" spans="2:16" ht="20.100000000000001" customHeight="1" x14ac:dyDescent="0.25">
      <c r="B32" s="70">
        <v>25</v>
      </c>
      <c r="C32" s="64">
        <v>9734</v>
      </c>
      <c r="D32" s="64">
        <v>1088643</v>
      </c>
      <c r="E32" s="66">
        <v>16735</v>
      </c>
      <c r="F32" s="71">
        <f t="shared" ca="1" si="0"/>
        <v>74</v>
      </c>
      <c r="G32" s="76">
        <f t="shared" si="1"/>
        <v>4</v>
      </c>
      <c r="H32" s="74" t="s">
        <v>24</v>
      </c>
      <c r="I32" s="74"/>
      <c r="J32" s="62"/>
      <c r="K32" s="74"/>
      <c r="L32" s="63"/>
      <c r="M32" s="74"/>
      <c r="N32" s="74"/>
      <c r="O32" s="77">
        <f>ValuesTable[[#This Row],[Total Points for Assets and Revenue (calculated)
]]+IF(I32="Yes",1,0)+IF(J32="High",0.5,IF(J32="Medium",0.25,IF(J32="Low",0)))+K32+IF(L32="High",0.25,IF(L32="Medium",0,IF(L32="Low",-0.25)))+IF(M32="Yes",1,0)+IF(N32="Yes",0.25,0)</f>
        <v>4</v>
      </c>
      <c r="P32" s="75" t="str">
        <f t="shared" si="2"/>
        <v>B</v>
      </c>
    </row>
    <row r="33" spans="2:16" ht="20.100000000000001" customHeight="1" x14ac:dyDescent="0.25">
      <c r="B33" s="70">
        <v>26</v>
      </c>
      <c r="C33" s="64">
        <v>15366</v>
      </c>
      <c r="D33" s="64">
        <v>1062090</v>
      </c>
      <c r="E33" s="66">
        <v>19455</v>
      </c>
      <c r="F33" s="71">
        <f t="shared" ca="1" si="0"/>
        <v>67</v>
      </c>
      <c r="G33" s="76">
        <f t="shared" si="1"/>
        <v>5</v>
      </c>
      <c r="H33" s="74" t="s">
        <v>30</v>
      </c>
      <c r="I33" s="74"/>
      <c r="J33" s="62"/>
      <c r="K33" s="74"/>
      <c r="L33" s="63"/>
      <c r="M33" s="74"/>
      <c r="N33" s="74"/>
      <c r="O33" s="77">
        <f>ValuesTable[[#This Row],[Total Points for Assets and Revenue (calculated)
]]+IF(I33="Yes",1,0)+IF(J33="High",0.5,IF(J33="Medium",0.25,IF(J33="Low",0)))+K33+IF(L33="High",0.25,IF(L33="Medium",0,IF(L33="Low",-0.25)))+IF(M33="Yes",1,0)+IF(N33="Yes",0.25,0)</f>
        <v>5</v>
      </c>
      <c r="P33" s="75" t="str">
        <f t="shared" si="2"/>
        <v>A</v>
      </c>
    </row>
    <row r="34" spans="2:16" ht="20.100000000000001" customHeight="1" x14ac:dyDescent="0.25">
      <c r="B34" s="70">
        <v>27</v>
      </c>
      <c r="C34" s="64">
        <v>14975</v>
      </c>
      <c r="D34" s="64">
        <v>1021143</v>
      </c>
      <c r="E34" s="66">
        <v>25033</v>
      </c>
      <c r="F34" s="71">
        <f t="shared" ca="1" si="0"/>
        <v>51</v>
      </c>
      <c r="G34" s="76">
        <f t="shared" si="1"/>
        <v>4</v>
      </c>
      <c r="H34" s="74" t="s">
        <v>30</v>
      </c>
      <c r="I34" s="74"/>
      <c r="J34" s="62"/>
      <c r="K34" s="74"/>
      <c r="L34" s="63"/>
      <c r="M34" s="74"/>
      <c r="N34" s="74"/>
      <c r="O34" s="77">
        <f>ValuesTable[[#This Row],[Total Points for Assets and Revenue (calculated)
]]+IF(I34="Yes",1,0)+IF(J34="High",0.5,IF(J34="Medium",0.25,IF(J34="Low",0)))+K34+IF(L34="High",0.25,IF(L34="Medium",0,IF(L34="Low",-0.25)))+IF(M34="Yes",1,0)+IF(N34="Yes",0.25,0)</f>
        <v>4</v>
      </c>
      <c r="P34" s="75" t="str">
        <f t="shared" si="2"/>
        <v>B</v>
      </c>
    </row>
    <row r="35" spans="2:16" ht="20.100000000000001" customHeight="1" x14ac:dyDescent="0.25">
      <c r="B35" s="70">
        <v>28</v>
      </c>
      <c r="C35" s="64">
        <v>14495</v>
      </c>
      <c r="D35" s="64">
        <v>982080</v>
      </c>
      <c r="E35" s="66">
        <v>16146</v>
      </c>
      <c r="F35" s="71">
        <f t="shared" ca="1" si="0"/>
        <v>76</v>
      </c>
      <c r="G35" s="76">
        <f t="shared" si="1"/>
        <v>4</v>
      </c>
      <c r="H35" s="74" t="s">
        <v>30</v>
      </c>
      <c r="I35" s="74"/>
      <c r="J35" s="62"/>
      <c r="K35" s="74"/>
      <c r="L35" s="63"/>
      <c r="M35" s="74"/>
      <c r="N35" s="74"/>
      <c r="O35" s="77">
        <f>ValuesTable[[#This Row],[Total Points for Assets and Revenue (calculated)
]]+IF(I35="Yes",1,0)+IF(J35="High",0.5,IF(J35="Medium",0.25,IF(J35="Low",0)))+K35+IF(L35="High",0.25,IF(L35="Medium",0,IF(L35="Low",-0.25)))+IF(M35="Yes",1,0)+IF(N35="Yes",0.25,0)</f>
        <v>4</v>
      </c>
      <c r="P35" s="75" t="str">
        <f t="shared" si="2"/>
        <v>B</v>
      </c>
    </row>
    <row r="36" spans="2:16" ht="20.100000000000001" customHeight="1" x14ac:dyDescent="0.25">
      <c r="B36" s="70">
        <v>29</v>
      </c>
      <c r="C36" s="64">
        <v>8862</v>
      </c>
      <c r="D36" s="64">
        <v>893405</v>
      </c>
      <c r="E36" s="66">
        <v>8582</v>
      </c>
      <c r="F36" s="71">
        <f t="shared" ca="1" si="0"/>
        <v>96</v>
      </c>
      <c r="G36" s="76">
        <f t="shared" si="1"/>
        <v>3</v>
      </c>
      <c r="H36" s="74" t="s">
        <v>30</v>
      </c>
      <c r="I36" s="74"/>
      <c r="J36" s="62"/>
      <c r="K36" s="74"/>
      <c r="L36" s="63"/>
      <c r="M36" s="74"/>
      <c r="N36" s="74"/>
      <c r="O36" s="77">
        <f>ValuesTable[[#This Row],[Total Points for Assets and Revenue (calculated)
]]+IF(I36="Yes",1,0)+IF(J36="High",0.5,IF(J36="Medium",0.25,IF(J36="Low",0)))+K36+IF(L36="High",0.25,IF(L36="Medium",0,IF(L36="Low",-0.25)))+IF(M36="Yes",1,0)+IF(N36="Yes",0.25,0)</f>
        <v>3</v>
      </c>
      <c r="P36" s="75" t="str">
        <f t="shared" si="2"/>
        <v>C</v>
      </c>
    </row>
    <row r="37" spans="2:16" ht="20.100000000000001" customHeight="1" x14ac:dyDescent="0.25">
      <c r="B37" s="70">
        <v>30</v>
      </c>
      <c r="C37" s="64">
        <v>13390</v>
      </c>
      <c r="D37" s="64">
        <v>883782</v>
      </c>
      <c r="E37" s="66">
        <v>20037</v>
      </c>
      <c r="F37" s="71">
        <f t="shared" ca="1" si="0"/>
        <v>65</v>
      </c>
      <c r="G37" s="76">
        <f t="shared" si="1"/>
        <v>4</v>
      </c>
      <c r="H37" s="74" t="s">
        <v>30</v>
      </c>
      <c r="I37" s="74"/>
      <c r="J37" s="62"/>
      <c r="K37" s="74"/>
      <c r="L37" s="63"/>
      <c r="M37" s="74"/>
      <c r="N37" s="74"/>
      <c r="O37" s="77">
        <f>ValuesTable[[#This Row],[Total Points for Assets and Revenue (calculated)
]]+IF(I37="Yes",1,0)+IF(J37="High",0.5,IF(J37="Medium",0.25,IF(J37="Low",0)))+K37+IF(L37="High",0.25,IF(L37="Medium",0,IF(L37="Low",-0.25)))+IF(M37="Yes",1,0)+IF(N37="Yes",0.25,0)</f>
        <v>4</v>
      </c>
      <c r="P37" s="75" t="str">
        <f t="shared" si="2"/>
        <v>B</v>
      </c>
    </row>
    <row r="38" spans="2:16" ht="20.100000000000001" customHeight="1" x14ac:dyDescent="0.25">
      <c r="B38" s="70">
        <v>31</v>
      </c>
      <c r="C38" s="64">
        <v>11053</v>
      </c>
      <c r="D38" s="64">
        <v>866118</v>
      </c>
      <c r="E38" s="66">
        <v>17856</v>
      </c>
      <c r="F38" s="71">
        <f t="shared" ca="1" si="0"/>
        <v>71</v>
      </c>
      <c r="G38" s="76">
        <f t="shared" si="1"/>
        <v>4</v>
      </c>
      <c r="H38" s="74" t="s">
        <v>30</v>
      </c>
      <c r="I38" s="74"/>
      <c r="J38" s="62"/>
      <c r="K38" s="74"/>
      <c r="L38" s="63"/>
      <c r="M38" s="74"/>
      <c r="N38" s="74"/>
      <c r="O38" s="77">
        <f>ValuesTable[[#This Row],[Total Points for Assets and Revenue (calculated)
]]+IF(I38="Yes",1,0)+IF(J38="High",0.5,IF(J38="Medium",0.25,IF(J38="Low",0)))+K38+IF(L38="High",0.25,IF(L38="Medium",0,IF(L38="Low",-0.25)))+IF(M38="Yes",1,0)+IF(N38="Yes",0.25,0)</f>
        <v>4</v>
      </c>
      <c r="P38" s="75" t="str">
        <f t="shared" si="2"/>
        <v>B</v>
      </c>
    </row>
    <row r="39" spans="2:16" ht="20.100000000000001" customHeight="1" x14ac:dyDescent="0.25">
      <c r="B39" s="70">
        <v>32</v>
      </c>
      <c r="C39" s="64">
        <v>12293</v>
      </c>
      <c r="D39" s="64">
        <v>844554</v>
      </c>
      <c r="E39" s="66">
        <v>17517</v>
      </c>
      <c r="F39" s="71">
        <f t="shared" ca="1" si="0"/>
        <v>72</v>
      </c>
      <c r="G39" s="76">
        <f t="shared" si="1"/>
        <v>4</v>
      </c>
      <c r="H39" s="74" t="s">
        <v>30</v>
      </c>
      <c r="I39" s="74"/>
      <c r="J39" s="62"/>
      <c r="K39" s="74"/>
      <c r="L39" s="63"/>
      <c r="M39" s="74"/>
      <c r="N39" s="74"/>
      <c r="O39" s="77">
        <f>ValuesTable[[#This Row],[Total Points for Assets and Revenue (calculated)
]]+IF(I39="Yes",1,0)+IF(J39="High",0.5,IF(J39="Medium",0.25,IF(J39="Low",0)))+K39+IF(L39="High",0.25,IF(L39="Medium",0,IF(L39="Low",-0.25)))+IF(M39="Yes",1,0)+IF(N39="Yes",0.25,0)</f>
        <v>4</v>
      </c>
      <c r="P39" s="75" t="str">
        <f t="shared" si="2"/>
        <v>B</v>
      </c>
    </row>
    <row r="40" spans="2:16" ht="20.100000000000001" customHeight="1" x14ac:dyDescent="0.25">
      <c r="B40" s="70">
        <v>33</v>
      </c>
      <c r="C40" s="64">
        <v>12733</v>
      </c>
      <c r="D40" s="64">
        <v>829061</v>
      </c>
      <c r="E40" s="66">
        <v>19793</v>
      </c>
      <c r="F40" s="71">
        <f t="shared" ref="F40:F71" ca="1" si="3">IF(E40&lt;&gt;"",INT(YEARFRAC(E40,TODAY())),"")</f>
        <v>66</v>
      </c>
      <c r="G40" s="76">
        <f t="shared" ref="G40:G71" si="4">IF(OR(D40&gt;1500000,C40&gt;15000),5,IF(OR(D40&gt;1000000,C40&gt;10000),4,IF(OR(D40&gt;500000,C40&gt;5000),3,IF(OR(D40&gt;250000,C40&gt;2500),2,IF(OR(D40&gt;100000,C40&gt;1000),1,0)))))</f>
        <v>4</v>
      </c>
      <c r="H40" s="74" t="s">
        <v>30</v>
      </c>
      <c r="I40" s="74"/>
      <c r="J40" s="62"/>
      <c r="K40" s="74"/>
      <c r="L40" s="63"/>
      <c r="M40" s="74"/>
      <c r="N40" s="74"/>
      <c r="O40" s="77">
        <f>ValuesTable[[#This Row],[Total Points for Assets and Revenue (calculated)
]]+IF(I40="Yes",1,0)+IF(J40="High",0.5,IF(J40="Medium",0.25,IF(J40="Low",0)))+K40+IF(L40="High",0.25,IF(L40="Medium",0,IF(L40="Low",-0.25)))+IF(M40="Yes",1,0)+IF(N40="Yes",0.25,0)</f>
        <v>4</v>
      </c>
      <c r="P40" s="75" t="str">
        <f t="shared" ref="P40:P71" si="5">IF(O40&gt;6,"A+",IF(O40&gt;4,"A",IF(O40&gt;3,"B",IF(O40&gt;2,"C","D"))))</f>
        <v>B</v>
      </c>
    </row>
    <row r="41" spans="2:16" ht="20.100000000000001" customHeight="1" x14ac:dyDescent="0.25">
      <c r="B41" s="70">
        <v>34</v>
      </c>
      <c r="C41" s="64">
        <v>12379</v>
      </c>
      <c r="D41" s="64">
        <v>802049</v>
      </c>
      <c r="E41" s="66">
        <v>16654</v>
      </c>
      <c r="F41" s="71">
        <f t="shared" ca="1" si="3"/>
        <v>74</v>
      </c>
      <c r="G41" s="76">
        <f t="shared" si="4"/>
        <v>4</v>
      </c>
      <c r="H41" s="74" t="s">
        <v>30</v>
      </c>
      <c r="I41" s="74"/>
      <c r="J41" s="62"/>
      <c r="K41" s="74"/>
      <c r="L41" s="63"/>
      <c r="M41" s="74"/>
      <c r="N41" s="74"/>
      <c r="O41" s="77">
        <f>ValuesTable[[#This Row],[Total Points for Assets and Revenue (calculated)
]]+IF(I41="Yes",1,0)+IF(J41="High",0.5,IF(J41="Medium",0.25,IF(J41="Low",0)))+K41+IF(L41="High",0.25,IF(L41="Medium",0,IF(L41="Low",-0.25)))+IF(M41="Yes",1,0)+IF(N41="Yes",0.25,0)</f>
        <v>4</v>
      </c>
      <c r="P41" s="75" t="str">
        <f t="shared" si="5"/>
        <v>B</v>
      </c>
    </row>
    <row r="42" spans="2:16" ht="20.100000000000001" customHeight="1" x14ac:dyDescent="0.25">
      <c r="B42" s="70">
        <v>35</v>
      </c>
      <c r="C42" s="64">
        <v>7748</v>
      </c>
      <c r="D42" s="64">
        <v>782771</v>
      </c>
      <c r="E42" s="66">
        <v>18496</v>
      </c>
      <c r="F42" s="71">
        <f t="shared" ca="1" si="3"/>
        <v>69</v>
      </c>
      <c r="G42" s="76">
        <f t="shared" si="4"/>
        <v>3</v>
      </c>
      <c r="H42" s="74" t="s">
        <v>30</v>
      </c>
      <c r="I42" s="74"/>
      <c r="J42" s="62"/>
      <c r="K42" s="74"/>
      <c r="L42" s="63"/>
      <c r="M42" s="74"/>
      <c r="N42" s="74"/>
      <c r="O42" s="77">
        <f>ValuesTable[[#This Row],[Total Points for Assets and Revenue (calculated)
]]+IF(I42="Yes",1,0)+IF(J42="High",0.5,IF(J42="Medium",0.25,IF(J42="Low",0)))+K42+IF(L42="High",0.25,IF(L42="Medium",0,IF(L42="Low",-0.25)))+IF(M42="Yes",1,0)+IF(N42="Yes",0.25,0)</f>
        <v>3</v>
      </c>
      <c r="P42" s="75" t="str">
        <f t="shared" si="5"/>
        <v>C</v>
      </c>
    </row>
    <row r="43" spans="2:16" ht="20.100000000000001" customHeight="1" x14ac:dyDescent="0.25">
      <c r="B43" s="70">
        <v>36</v>
      </c>
      <c r="C43" s="64">
        <v>11536</v>
      </c>
      <c r="D43" s="64">
        <v>753165</v>
      </c>
      <c r="E43" s="66">
        <v>19139</v>
      </c>
      <c r="F43" s="71">
        <f t="shared" ca="1" si="3"/>
        <v>67</v>
      </c>
      <c r="G43" s="76">
        <f t="shared" si="4"/>
        <v>4</v>
      </c>
      <c r="H43" s="74" t="s">
        <v>30</v>
      </c>
      <c r="I43" s="74"/>
      <c r="J43" s="62"/>
      <c r="K43" s="74"/>
      <c r="L43" s="63"/>
      <c r="M43" s="74"/>
      <c r="N43" s="74"/>
      <c r="O43" s="77">
        <f>ValuesTable[[#This Row],[Total Points for Assets and Revenue (calculated)
]]+IF(I43="Yes",1,0)+IF(J43="High",0.5,IF(J43="Medium",0.25,IF(J43="Low",0)))+K43+IF(L43="High",0.25,IF(L43="Medium",0,IF(L43="Low",-0.25)))+IF(M43="Yes",1,0)+IF(N43="Yes",0.25,0)</f>
        <v>4</v>
      </c>
      <c r="P43" s="75" t="str">
        <f t="shared" si="5"/>
        <v>B</v>
      </c>
    </row>
    <row r="44" spans="2:16" ht="20.100000000000001" customHeight="1" x14ac:dyDescent="0.25">
      <c r="B44" s="70">
        <v>37</v>
      </c>
      <c r="C44" s="64">
        <v>9348</v>
      </c>
      <c r="D44" s="64">
        <v>721959</v>
      </c>
      <c r="E44" s="66">
        <v>11418</v>
      </c>
      <c r="F44" s="71">
        <f t="shared" ca="1" si="3"/>
        <v>89</v>
      </c>
      <c r="G44" s="76">
        <f t="shared" si="4"/>
        <v>3</v>
      </c>
      <c r="H44" s="74" t="s">
        <v>30</v>
      </c>
      <c r="I44" s="74"/>
      <c r="J44" s="62"/>
      <c r="K44" s="74"/>
      <c r="L44" s="63"/>
      <c r="M44" s="74"/>
      <c r="N44" s="74"/>
      <c r="O44" s="77">
        <f>ValuesTable[[#This Row],[Total Points for Assets and Revenue (calculated)
]]+IF(I44="Yes",1,0)+IF(J44="High",0.5,IF(J44="Medium",0.25,IF(J44="Low",0)))+K44+IF(L44="High",0.25,IF(L44="Medium",0,IF(L44="Low",-0.25)))+IF(M44="Yes",1,0)+IF(N44="Yes",0.25,0)</f>
        <v>3</v>
      </c>
      <c r="P44" s="75" t="str">
        <f t="shared" si="5"/>
        <v>C</v>
      </c>
    </row>
    <row r="45" spans="2:16" ht="20.100000000000001" customHeight="1" x14ac:dyDescent="0.25">
      <c r="B45" s="70">
        <v>38</v>
      </c>
      <c r="C45" s="64">
        <v>11224</v>
      </c>
      <c r="D45" s="64">
        <v>708937</v>
      </c>
      <c r="E45" s="66">
        <v>20175</v>
      </c>
      <c r="F45" s="71">
        <f t="shared" ca="1" si="3"/>
        <v>65</v>
      </c>
      <c r="G45" s="76">
        <f t="shared" si="4"/>
        <v>4</v>
      </c>
      <c r="H45" s="74" t="s">
        <v>24</v>
      </c>
      <c r="I45" s="74"/>
      <c r="J45" s="62"/>
      <c r="K45" s="74"/>
      <c r="L45" s="63"/>
      <c r="M45" s="74"/>
      <c r="N45" s="74"/>
      <c r="O45" s="77">
        <f>ValuesTable[[#This Row],[Total Points for Assets and Revenue (calculated)
]]+IF(I45="Yes",1,0)+IF(J45="High",0.5,IF(J45="Medium",0.25,IF(J45="Low",0)))+K45+IF(L45="High",0.25,IF(L45="Medium",0,IF(L45="Low",-0.25)))+IF(M45="Yes",1,0)+IF(N45="Yes",0.25,0)</f>
        <v>4</v>
      </c>
      <c r="P45" s="75" t="str">
        <f t="shared" si="5"/>
        <v>B</v>
      </c>
    </row>
    <row r="46" spans="2:16" ht="20.100000000000001" customHeight="1" x14ac:dyDescent="0.25">
      <c r="B46" s="70">
        <v>39</v>
      </c>
      <c r="C46" s="64">
        <v>11130</v>
      </c>
      <c r="D46" s="64">
        <v>703839</v>
      </c>
      <c r="E46" s="66">
        <v>20224</v>
      </c>
      <c r="F46" s="71">
        <f t="shared" ca="1" si="3"/>
        <v>64</v>
      </c>
      <c r="G46" s="76">
        <f t="shared" si="4"/>
        <v>4</v>
      </c>
      <c r="H46" s="74" t="s">
        <v>24</v>
      </c>
      <c r="I46" s="74"/>
      <c r="J46" s="62"/>
      <c r="K46" s="74"/>
      <c r="L46" s="63"/>
      <c r="M46" s="74"/>
      <c r="N46" s="74"/>
      <c r="O46" s="77">
        <f>ValuesTable[[#This Row],[Total Points for Assets and Revenue (calculated)
]]+IF(I46="Yes",1,0)+IF(J46="High",0.5,IF(J46="Medium",0.25,IF(J46="Low",0)))+K46+IF(L46="High",0.25,IF(L46="Medium",0,IF(L46="Low",-0.25)))+IF(M46="Yes",1,0)+IF(N46="Yes",0.25,0)</f>
        <v>4</v>
      </c>
      <c r="P46" s="75" t="str">
        <f t="shared" si="5"/>
        <v>B</v>
      </c>
    </row>
    <row r="47" spans="2:16" ht="20.100000000000001" customHeight="1" x14ac:dyDescent="0.25">
      <c r="B47" s="70">
        <v>40</v>
      </c>
      <c r="C47" s="64">
        <v>10518</v>
      </c>
      <c r="D47" s="64">
        <v>646103</v>
      </c>
      <c r="E47" s="66">
        <v>17438</v>
      </c>
      <c r="F47" s="71">
        <f t="shared" ca="1" si="3"/>
        <v>72</v>
      </c>
      <c r="G47" s="76">
        <f t="shared" si="4"/>
        <v>4</v>
      </c>
      <c r="H47" s="74" t="s">
        <v>30</v>
      </c>
      <c r="I47" s="74"/>
      <c r="J47" s="62"/>
      <c r="K47" s="74"/>
      <c r="L47" s="63"/>
      <c r="M47" s="74"/>
      <c r="N47" s="74"/>
      <c r="O47" s="77">
        <f>ValuesTable[[#This Row],[Total Points for Assets and Revenue (calculated)
]]+IF(I47="Yes",1,0)+IF(J47="High",0.5,IF(J47="Medium",0.25,IF(J47="Low",0)))+K47+IF(L47="High",0.25,IF(L47="Medium",0,IF(L47="Low",-0.25)))+IF(M47="Yes",1,0)+IF(N47="Yes",0.25,0)</f>
        <v>4</v>
      </c>
      <c r="P47" s="75" t="str">
        <f t="shared" si="5"/>
        <v>B</v>
      </c>
    </row>
    <row r="48" spans="2:16" ht="20.100000000000001" customHeight="1" x14ac:dyDescent="0.25">
      <c r="B48" s="70">
        <v>41</v>
      </c>
      <c r="C48" s="64">
        <v>8384</v>
      </c>
      <c r="D48" s="64">
        <v>643258</v>
      </c>
      <c r="E48" s="66">
        <v>22693</v>
      </c>
      <c r="F48" s="71">
        <f t="shared" ca="1" si="3"/>
        <v>58</v>
      </c>
      <c r="G48" s="76">
        <f t="shared" si="4"/>
        <v>3</v>
      </c>
      <c r="H48" s="74" t="s">
        <v>24</v>
      </c>
      <c r="I48" s="74"/>
      <c r="J48" s="62"/>
      <c r="K48" s="74"/>
      <c r="L48" s="63"/>
      <c r="M48" s="74"/>
      <c r="N48" s="74"/>
      <c r="O48" s="77">
        <f>ValuesTable[[#This Row],[Total Points for Assets and Revenue (calculated)
]]+IF(I48="Yes",1,0)+IF(J48="High",0.5,IF(J48="Medium",0.25,IF(J48="Low",0)))+K48+IF(L48="High",0.25,IF(L48="Medium",0,IF(L48="Low",-0.25)))+IF(M48="Yes",1,0)+IF(N48="Yes",0.25,0)</f>
        <v>3</v>
      </c>
      <c r="P48" s="75" t="str">
        <f t="shared" si="5"/>
        <v>C</v>
      </c>
    </row>
    <row r="49" spans="2:16" ht="20.100000000000001" customHeight="1" x14ac:dyDescent="0.25">
      <c r="B49" s="70">
        <v>42</v>
      </c>
      <c r="C49" s="64">
        <v>7460</v>
      </c>
      <c r="D49" s="64">
        <v>628188</v>
      </c>
      <c r="E49" s="66">
        <v>14952</v>
      </c>
      <c r="F49" s="71">
        <f t="shared" ca="1" si="3"/>
        <v>79</v>
      </c>
      <c r="G49" s="76">
        <f t="shared" si="4"/>
        <v>3</v>
      </c>
      <c r="H49" s="74" t="s">
        <v>30</v>
      </c>
      <c r="I49" s="74"/>
      <c r="J49" s="62"/>
      <c r="K49" s="74"/>
      <c r="L49" s="63"/>
      <c r="M49" s="74"/>
      <c r="N49" s="74"/>
      <c r="O49" s="77">
        <f>ValuesTable[[#This Row],[Total Points for Assets and Revenue (calculated)
]]+IF(I49="Yes",1,0)+IF(J49="High",0.5,IF(J49="Medium",0.25,IF(J49="Low",0)))+K49+IF(L49="High",0.25,IF(L49="Medium",0,IF(L49="Low",-0.25)))+IF(M49="Yes",1,0)+IF(N49="Yes",0.25,0)</f>
        <v>3</v>
      </c>
      <c r="P49" s="75" t="str">
        <f t="shared" si="5"/>
        <v>C</v>
      </c>
    </row>
    <row r="50" spans="2:16" ht="20.100000000000001" customHeight="1" x14ac:dyDescent="0.25">
      <c r="B50" s="70">
        <v>43</v>
      </c>
      <c r="C50" s="64">
        <v>4237</v>
      </c>
      <c r="D50" s="64">
        <v>595995</v>
      </c>
      <c r="E50" s="66">
        <v>20167</v>
      </c>
      <c r="F50" s="71">
        <f t="shared" ca="1" si="3"/>
        <v>65</v>
      </c>
      <c r="G50" s="76">
        <f t="shared" si="4"/>
        <v>3</v>
      </c>
      <c r="H50" s="74" t="s">
        <v>30</v>
      </c>
      <c r="I50" s="74"/>
      <c r="J50" s="62"/>
      <c r="K50" s="74"/>
      <c r="L50" s="63"/>
      <c r="M50" s="74"/>
      <c r="N50" s="74"/>
      <c r="O50" s="77">
        <f>ValuesTable[[#This Row],[Total Points for Assets and Revenue (calculated)
]]+IF(I50="Yes",1,0)+IF(J50="High",0.5,IF(J50="Medium",0.25,IF(J50="Low",0)))+K50+IF(L50="High",0.25,IF(L50="Medium",0,IF(L50="Low",-0.25)))+IF(M50="Yes",1,0)+IF(N50="Yes",0.25,0)</f>
        <v>3</v>
      </c>
      <c r="P50" s="75" t="str">
        <f t="shared" si="5"/>
        <v>C</v>
      </c>
    </row>
    <row r="51" spans="2:16" ht="20.100000000000001" customHeight="1" x14ac:dyDescent="0.25">
      <c r="B51" s="70">
        <v>44</v>
      </c>
      <c r="C51" s="64">
        <v>5843</v>
      </c>
      <c r="D51" s="64">
        <v>585049</v>
      </c>
      <c r="E51" s="66">
        <v>20275</v>
      </c>
      <c r="F51" s="71">
        <f t="shared" ca="1" si="3"/>
        <v>64</v>
      </c>
      <c r="G51" s="76">
        <f t="shared" si="4"/>
        <v>3</v>
      </c>
      <c r="H51" s="74" t="s">
        <v>30</v>
      </c>
      <c r="I51" s="74"/>
      <c r="J51" s="62"/>
      <c r="K51" s="74"/>
      <c r="L51" s="63"/>
      <c r="M51" s="74"/>
      <c r="N51" s="74"/>
      <c r="O51" s="77">
        <f>ValuesTable[[#This Row],[Total Points for Assets and Revenue (calculated)
]]+IF(I51="Yes",1,0)+IF(J51="High",0.5,IF(J51="Medium",0.25,IF(J51="Low",0)))+K51+IF(L51="High",0.25,IF(L51="Medium",0,IF(L51="Low",-0.25)))+IF(M51="Yes",1,0)+IF(N51="Yes",0.25,0)</f>
        <v>3</v>
      </c>
      <c r="P51" s="75" t="str">
        <f t="shared" si="5"/>
        <v>C</v>
      </c>
    </row>
    <row r="52" spans="2:16" ht="20.100000000000001" customHeight="1" x14ac:dyDescent="0.25">
      <c r="B52" s="70">
        <v>45</v>
      </c>
      <c r="C52" s="64">
        <v>9646</v>
      </c>
      <c r="D52" s="64">
        <v>580517</v>
      </c>
      <c r="E52" s="66">
        <v>14621</v>
      </c>
      <c r="F52" s="71">
        <f t="shared" ca="1" si="3"/>
        <v>80</v>
      </c>
      <c r="G52" s="76">
        <f t="shared" si="4"/>
        <v>3</v>
      </c>
      <c r="H52" s="74" t="s">
        <v>30</v>
      </c>
      <c r="I52" s="74"/>
      <c r="J52" s="62"/>
      <c r="K52" s="74"/>
      <c r="L52" s="63"/>
      <c r="M52" s="74"/>
      <c r="N52" s="74"/>
      <c r="O52" s="77">
        <f>ValuesTable[[#This Row],[Total Points for Assets and Revenue (calculated)
]]+IF(I52="Yes",1,0)+IF(J52="High",0.5,IF(J52="Medium",0.25,IF(J52="Low",0)))+K52+IF(L52="High",0.25,IF(L52="Medium",0,IF(L52="Low",-0.25)))+IF(M52="Yes",1,0)+IF(N52="Yes",0.25,0)</f>
        <v>3</v>
      </c>
      <c r="P52" s="75" t="str">
        <f t="shared" si="5"/>
        <v>C</v>
      </c>
    </row>
    <row r="53" spans="2:16" ht="20.100000000000001" customHeight="1" x14ac:dyDescent="0.25">
      <c r="B53" s="70">
        <v>46</v>
      </c>
      <c r="C53" s="64">
        <v>5561</v>
      </c>
      <c r="D53" s="64">
        <v>559817</v>
      </c>
      <c r="E53" s="66">
        <v>18054</v>
      </c>
      <c r="F53" s="71">
        <f t="shared" ca="1" si="3"/>
        <v>70</v>
      </c>
      <c r="G53" s="76">
        <f t="shared" si="4"/>
        <v>3</v>
      </c>
      <c r="H53" s="74" t="s">
        <v>30</v>
      </c>
      <c r="I53" s="74"/>
      <c r="J53" s="62"/>
      <c r="K53" s="74"/>
      <c r="L53" s="63"/>
      <c r="M53" s="74"/>
      <c r="N53" s="74"/>
      <c r="O53" s="77">
        <f>ValuesTable[[#This Row],[Total Points for Assets and Revenue (calculated)
]]+IF(I53="Yes",1,0)+IF(J53="High",0.5,IF(J53="Medium",0.25,IF(J53="Low",0)))+K53+IF(L53="High",0.25,IF(L53="Medium",0,IF(L53="Low",-0.25)))+IF(M53="Yes",1,0)+IF(N53="Yes",0.25,0)</f>
        <v>3</v>
      </c>
      <c r="P53" s="75" t="str">
        <f t="shared" si="5"/>
        <v>C</v>
      </c>
    </row>
    <row r="54" spans="2:16" ht="20.100000000000001" customHeight="1" x14ac:dyDescent="0.25">
      <c r="B54" s="70">
        <v>47</v>
      </c>
      <c r="C54" s="64">
        <v>8935</v>
      </c>
      <c r="D54" s="64">
        <v>517089</v>
      </c>
      <c r="E54" s="66">
        <v>26550</v>
      </c>
      <c r="F54" s="71">
        <f t="shared" ca="1" si="3"/>
        <v>47</v>
      </c>
      <c r="G54" s="76">
        <f t="shared" si="4"/>
        <v>3</v>
      </c>
      <c r="H54" s="74" t="s">
        <v>24</v>
      </c>
      <c r="I54" s="74"/>
      <c r="J54" s="62"/>
      <c r="K54" s="74"/>
      <c r="L54" s="63"/>
      <c r="M54" s="74"/>
      <c r="N54" s="74"/>
      <c r="O54" s="77">
        <f>ValuesTable[[#This Row],[Total Points for Assets and Revenue (calculated)
]]+IF(I54="Yes",1,0)+IF(J54="High",0.5,IF(J54="Medium",0.25,IF(J54="Low",0)))+K54+IF(L54="High",0.25,IF(L54="Medium",0,IF(L54="Low",-0.25)))+IF(M54="Yes",1,0)+IF(N54="Yes",0.25,0)</f>
        <v>3</v>
      </c>
      <c r="P54" s="75" t="str">
        <f t="shared" si="5"/>
        <v>C</v>
      </c>
    </row>
    <row r="55" spans="2:16" ht="20.100000000000001" customHeight="1" x14ac:dyDescent="0.25">
      <c r="B55" s="70">
        <v>48</v>
      </c>
      <c r="C55" s="64">
        <v>8867</v>
      </c>
      <c r="D55" s="64">
        <v>511109</v>
      </c>
      <c r="E55" s="66">
        <v>19094</v>
      </c>
      <c r="F55" s="71">
        <f t="shared" ca="1" si="3"/>
        <v>68</v>
      </c>
      <c r="G55" s="76">
        <f t="shared" si="4"/>
        <v>3</v>
      </c>
      <c r="H55" s="74" t="s">
        <v>30</v>
      </c>
      <c r="I55" s="74"/>
      <c r="J55" s="62"/>
      <c r="K55" s="74"/>
      <c r="L55" s="63"/>
      <c r="M55" s="74"/>
      <c r="N55" s="74"/>
      <c r="O55" s="77">
        <f>ValuesTable[[#This Row],[Total Points for Assets and Revenue (calculated)
]]+IF(I55="Yes",1,0)+IF(J55="High",0.5,IF(J55="Medium",0.25,IF(J55="Low",0)))+K55+IF(L55="High",0.25,IF(L55="Medium",0,IF(L55="Low",-0.25)))+IF(M55="Yes",1,0)+IF(N55="Yes",0.25,0)</f>
        <v>3</v>
      </c>
      <c r="P55" s="75" t="str">
        <f t="shared" si="5"/>
        <v>C</v>
      </c>
    </row>
    <row r="56" spans="2:16" ht="20.100000000000001" customHeight="1" x14ac:dyDescent="0.25">
      <c r="B56" s="70">
        <v>49</v>
      </c>
      <c r="C56" s="64">
        <v>8829</v>
      </c>
      <c r="D56" s="64">
        <v>510396</v>
      </c>
      <c r="E56" s="66">
        <v>18503</v>
      </c>
      <c r="F56" s="71">
        <f t="shared" ca="1" si="3"/>
        <v>69</v>
      </c>
      <c r="G56" s="76">
        <f t="shared" si="4"/>
        <v>3</v>
      </c>
      <c r="H56" s="74" t="s">
        <v>30</v>
      </c>
      <c r="I56" s="74"/>
      <c r="J56" s="62"/>
      <c r="K56" s="74"/>
      <c r="L56" s="63"/>
      <c r="M56" s="74"/>
      <c r="N56" s="74"/>
      <c r="O56" s="77">
        <f>ValuesTable[[#This Row],[Total Points for Assets and Revenue (calculated)
]]+IF(I56="Yes",1,0)+IF(J56="High",0.5,IF(J56="Medium",0.25,IF(J56="Low",0)))+K56+IF(L56="High",0.25,IF(L56="Medium",0,IF(L56="Low",-0.25)))+IF(M56="Yes",1,0)+IF(N56="Yes",0.25,0)</f>
        <v>3</v>
      </c>
      <c r="P56" s="75" t="str">
        <f t="shared" si="5"/>
        <v>C</v>
      </c>
    </row>
    <row r="57" spans="2:16" ht="20.100000000000001" customHeight="1" x14ac:dyDescent="0.25">
      <c r="B57" s="70">
        <v>50</v>
      </c>
      <c r="C57" s="64">
        <v>8797</v>
      </c>
      <c r="D57" s="64">
        <v>505244</v>
      </c>
      <c r="E57" s="66">
        <v>16824</v>
      </c>
      <c r="F57" s="71">
        <f t="shared" ca="1" si="3"/>
        <v>74</v>
      </c>
      <c r="G57" s="76">
        <f t="shared" si="4"/>
        <v>3</v>
      </c>
      <c r="H57" s="74" t="s">
        <v>30</v>
      </c>
      <c r="I57" s="74"/>
      <c r="J57" s="62"/>
      <c r="K57" s="74"/>
      <c r="L57" s="63"/>
      <c r="M57" s="74"/>
      <c r="N57" s="74"/>
      <c r="O57" s="77">
        <f>ValuesTable[[#This Row],[Total Points for Assets and Revenue (calculated)
]]+IF(I57="Yes",1,0)+IF(J57="High",0.5,IF(J57="Medium",0.25,IF(J57="Low",0)))+K57+IF(L57="High",0.25,IF(L57="Medium",0,IF(L57="Low",-0.25)))+IF(M57="Yes",1,0)+IF(N57="Yes",0.25,0)</f>
        <v>3</v>
      </c>
      <c r="P57" s="75" t="str">
        <f t="shared" si="5"/>
        <v>C</v>
      </c>
    </row>
    <row r="58" spans="2:16" ht="20.100000000000001" customHeight="1" x14ac:dyDescent="0.25">
      <c r="B58" s="70">
        <v>51</v>
      </c>
      <c r="C58" s="64">
        <v>8631</v>
      </c>
      <c r="D58" s="64">
        <v>494293</v>
      </c>
      <c r="E58" s="66">
        <v>9592</v>
      </c>
      <c r="F58" s="71">
        <f t="shared" ca="1" si="3"/>
        <v>94</v>
      </c>
      <c r="G58" s="76">
        <f t="shared" si="4"/>
        <v>3</v>
      </c>
      <c r="H58" s="74" t="s">
        <v>30</v>
      </c>
      <c r="I58" s="74"/>
      <c r="J58" s="62"/>
      <c r="K58" s="74"/>
      <c r="L58" s="63"/>
      <c r="M58" s="74"/>
      <c r="N58" s="74"/>
      <c r="O58" s="77">
        <f>ValuesTable[[#This Row],[Total Points for Assets and Revenue (calculated)
]]+IF(I58="Yes",1,0)+IF(J58="High",0.5,IF(J58="Medium",0.25,IF(J58="Low",0)))+K58+IF(L58="High",0.25,IF(L58="Medium",0,IF(L58="Low",-0.25)))+IF(M58="Yes",1,0)+IF(N58="Yes",0.25,0)</f>
        <v>3</v>
      </c>
      <c r="P58" s="75" t="str">
        <f t="shared" si="5"/>
        <v>C</v>
      </c>
    </row>
    <row r="59" spans="2:16" ht="20.100000000000001" customHeight="1" x14ac:dyDescent="0.25">
      <c r="B59" s="70">
        <v>52</v>
      </c>
      <c r="C59" s="64">
        <v>8654</v>
      </c>
      <c r="D59" s="64">
        <v>491563</v>
      </c>
      <c r="E59" s="66">
        <v>21474</v>
      </c>
      <c r="F59" s="71">
        <f t="shared" ca="1" si="3"/>
        <v>61</v>
      </c>
      <c r="G59" s="76">
        <f t="shared" si="4"/>
        <v>3</v>
      </c>
      <c r="H59" s="74" t="s">
        <v>24</v>
      </c>
      <c r="I59" s="74"/>
      <c r="J59" s="62"/>
      <c r="K59" s="74"/>
      <c r="L59" s="63"/>
      <c r="M59" s="74"/>
      <c r="N59" s="74"/>
      <c r="O59" s="77">
        <f>ValuesTable[[#This Row],[Total Points for Assets and Revenue (calculated)
]]+IF(I59="Yes",1,0)+IF(J59="High",0.5,IF(J59="Medium",0.25,IF(J59="Low",0)))+K59+IF(L59="High",0.25,IF(L59="Medium",0,IF(L59="Low",-0.25)))+IF(M59="Yes",1,0)+IF(N59="Yes",0.25,0)</f>
        <v>3</v>
      </c>
      <c r="P59" s="75" t="str">
        <f t="shared" si="5"/>
        <v>C</v>
      </c>
    </row>
    <row r="60" spans="2:16" ht="20.100000000000001" customHeight="1" x14ac:dyDescent="0.25">
      <c r="B60" s="70">
        <v>53</v>
      </c>
      <c r="C60" s="64">
        <v>8341</v>
      </c>
      <c r="D60" s="64">
        <v>470696</v>
      </c>
      <c r="E60" s="66">
        <v>15021</v>
      </c>
      <c r="F60" s="71">
        <f t="shared" ca="1" si="3"/>
        <v>79</v>
      </c>
      <c r="G60" s="76">
        <f t="shared" si="4"/>
        <v>3</v>
      </c>
      <c r="H60" s="74" t="s">
        <v>30</v>
      </c>
      <c r="I60" s="74"/>
      <c r="J60" s="62"/>
      <c r="K60" s="74"/>
      <c r="L60" s="63"/>
      <c r="M60" s="74"/>
      <c r="N60" s="74"/>
      <c r="O60" s="77">
        <f>ValuesTable[[#This Row],[Total Points for Assets and Revenue (calculated)
]]+IF(I60="Yes",1,0)+IF(J60="High",0.5,IF(J60="Medium",0.25,IF(J60="Low",0)))+K60+IF(L60="High",0.25,IF(L60="Medium",0,IF(L60="Low",-0.25)))+IF(M60="Yes",1,0)+IF(N60="Yes",0.25,0)</f>
        <v>3</v>
      </c>
      <c r="P60" s="75" t="str">
        <f t="shared" si="5"/>
        <v>C</v>
      </c>
    </row>
    <row r="61" spans="2:16" ht="20.100000000000001" customHeight="1" x14ac:dyDescent="0.25">
      <c r="B61" s="70">
        <v>54</v>
      </c>
      <c r="C61" s="64">
        <v>4091</v>
      </c>
      <c r="D61" s="64">
        <v>457639</v>
      </c>
      <c r="E61" s="66">
        <v>18219</v>
      </c>
      <c r="F61" s="71">
        <f t="shared" ca="1" si="3"/>
        <v>70</v>
      </c>
      <c r="G61" s="76">
        <f t="shared" si="4"/>
        <v>2</v>
      </c>
      <c r="H61" s="74" t="s">
        <v>30</v>
      </c>
      <c r="I61" s="74"/>
      <c r="J61" s="62"/>
      <c r="K61" s="74"/>
      <c r="L61" s="63"/>
      <c r="M61" s="74"/>
      <c r="N61" s="74"/>
      <c r="O61" s="77">
        <f>ValuesTable[[#This Row],[Total Points for Assets and Revenue (calculated)
]]+IF(I61="Yes",1,0)+IF(J61="High",0.5,IF(J61="Medium",0.25,IF(J61="Low",0)))+K61+IF(L61="High",0.25,IF(L61="Medium",0,IF(L61="Low",-0.25)))+IF(M61="Yes",1,0)+IF(N61="Yes",0.25,0)</f>
        <v>2</v>
      </c>
      <c r="P61" s="75" t="str">
        <f t="shared" si="5"/>
        <v>D</v>
      </c>
    </row>
    <row r="62" spans="2:16" ht="20.100000000000001" customHeight="1" x14ac:dyDescent="0.25">
      <c r="B62" s="70">
        <v>55</v>
      </c>
      <c r="C62" s="64">
        <v>5737</v>
      </c>
      <c r="D62" s="64">
        <v>444033</v>
      </c>
      <c r="E62" s="66">
        <v>21098</v>
      </c>
      <c r="F62" s="71">
        <f t="shared" ca="1" si="3"/>
        <v>62</v>
      </c>
      <c r="G62" s="76">
        <f t="shared" si="4"/>
        <v>3</v>
      </c>
      <c r="H62" s="74" t="s">
        <v>24</v>
      </c>
      <c r="I62" s="74"/>
      <c r="J62" s="62"/>
      <c r="K62" s="74"/>
      <c r="L62" s="63"/>
      <c r="M62" s="74"/>
      <c r="N62" s="74"/>
      <c r="O62" s="77">
        <f>ValuesTable[[#This Row],[Total Points for Assets and Revenue (calculated)
]]+IF(I62="Yes",1,0)+IF(J62="High",0.5,IF(J62="Medium",0.25,IF(J62="Low",0)))+K62+IF(L62="High",0.25,IF(L62="Medium",0,IF(L62="Low",-0.25)))+IF(M62="Yes",1,0)+IF(N62="Yes",0.25,0)</f>
        <v>3</v>
      </c>
      <c r="P62" s="75" t="str">
        <f t="shared" si="5"/>
        <v>C</v>
      </c>
    </row>
    <row r="63" spans="2:16" ht="20.100000000000001" customHeight="1" x14ac:dyDescent="0.25">
      <c r="B63" s="70">
        <v>56</v>
      </c>
      <c r="C63" s="64">
        <v>7652</v>
      </c>
      <c r="D63" s="64">
        <v>429574</v>
      </c>
      <c r="E63" s="66">
        <v>10797</v>
      </c>
      <c r="F63" s="71">
        <f t="shared" ca="1" si="3"/>
        <v>90</v>
      </c>
      <c r="G63" s="76">
        <f t="shared" si="4"/>
        <v>3</v>
      </c>
      <c r="H63" s="74" t="s">
        <v>30</v>
      </c>
      <c r="I63" s="74"/>
      <c r="J63" s="62"/>
      <c r="K63" s="74"/>
      <c r="L63" s="63"/>
      <c r="M63" s="74"/>
      <c r="N63" s="74"/>
      <c r="O63" s="77">
        <f>ValuesTable[[#This Row],[Total Points for Assets and Revenue (calculated)
]]+IF(I63="Yes",1,0)+IF(J63="High",0.5,IF(J63="Medium",0.25,IF(J63="Low",0)))+K63+IF(L63="High",0.25,IF(L63="Medium",0,IF(L63="Low",-0.25)))+IF(M63="Yes",1,0)+IF(N63="Yes",0.25,0)</f>
        <v>3</v>
      </c>
      <c r="P63" s="75" t="str">
        <f t="shared" si="5"/>
        <v>C</v>
      </c>
    </row>
    <row r="64" spans="2:16" ht="20.100000000000001" customHeight="1" x14ac:dyDescent="0.25">
      <c r="B64" s="70">
        <v>57</v>
      </c>
      <c r="C64" s="64">
        <v>7523</v>
      </c>
      <c r="D64" s="64">
        <v>419621</v>
      </c>
      <c r="E64" s="66">
        <v>13903</v>
      </c>
      <c r="F64" s="71">
        <f t="shared" ca="1" si="3"/>
        <v>82</v>
      </c>
      <c r="G64" s="76">
        <f t="shared" si="4"/>
        <v>3</v>
      </c>
      <c r="H64" s="74" t="s">
        <v>30</v>
      </c>
      <c r="I64" s="74"/>
      <c r="J64" s="62"/>
      <c r="K64" s="74"/>
      <c r="L64" s="63"/>
      <c r="M64" s="74"/>
      <c r="N64" s="74"/>
      <c r="O64" s="77">
        <f>ValuesTable[[#This Row],[Total Points for Assets and Revenue (calculated)
]]+IF(I64="Yes",1,0)+IF(J64="High",0.5,IF(J64="Medium",0.25,IF(J64="Low",0)))+K64+IF(L64="High",0.25,IF(L64="Medium",0,IF(L64="Low",-0.25)))+IF(M64="Yes",1,0)+IF(N64="Yes",0.25,0)</f>
        <v>3</v>
      </c>
      <c r="P64" s="75" t="str">
        <f t="shared" si="5"/>
        <v>C</v>
      </c>
    </row>
    <row r="65" spans="2:16" ht="20.100000000000001" customHeight="1" x14ac:dyDescent="0.25">
      <c r="B65" s="70">
        <v>58</v>
      </c>
      <c r="C65" s="64">
        <v>9411</v>
      </c>
      <c r="D65" s="64">
        <v>418726</v>
      </c>
      <c r="E65" s="66">
        <v>17949</v>
      </c>
      <c r="F65" s="71">
        <f t="shared" ca="1" si="3"/>
        <v>71</v>
      </c>
      <c r="G65" s="76">
        <f t="shared" si="4"/>
        <v>3</v>
      </c>
      <c r="H65" s="74" t="s">
        <v>24</v>
      </c>
      <c r="I65" s="74"/>
      <c r="J65" s="62"/>
      <c r="K65" s="74"/>
      <c r="L65" s="63"/>
      <c r="M65" s="74"/>
      <c r="N65" s="74"/>
      <c r="O65" s="77">
        <f>ValuesTable[[#This Row],[Total Points for Assets and Revenue (calculated)
]]+IF(I65="Yes",1,0)+IF(J65="High",0.5,IF(J65="Medium",0.25,IF(J65="Low",0)))+K65+IF(L65="High",0.25,IF(L65="Medium",0,IF(L65="Low",-0.25)))+IF(M65="Yes",1,0)+IF(N65="Yes",0.25,0)</f>
        <v>3</v>
      </c>
      <c r="P65" s="75" t="str">
        <f t="shared" si="5"/>
        <v>C</v>
      </c>
    </row>
    <row r="66" spans="2:16" ht="20.100000000000001" customHeight="1" x14ac:dyDescent="0.25">
      <c r="B66" s="70">
        <v>59</v>
      </c>
      <c r="C66" s="64">
        <v>7731</v>
      </c>
      <c r="D66" s="64">
        <v>406710</v>
      </c>
      <c r="E66" s="66">
        <v>10560</v>
      </c>
      <c r="F66" s="71">
        <f t="shared" ca="1" si="3"/>
        <v>91</v>
      </c>
      <c r="G66" s="76">
        <f t="shared" si="4"/>
        <v>3</v>
      </c>
      <c r="H66" s="74" t="s">
        <v>30</v>
      </c>
      <c r="I66" s="74"/>
      <c r="J66" s="62"/>
      <c r="K66" s="74"/>
      <c r="L66" s="63"/>
      <c r="M66" s="74"/>
      <c r="N66" s="74"/>
      <c r="O66" s="77">
        <f>ValuesTable[[#This Row],[Total Points for Assets and Revenue (calculated)
]]+IF(I66="Yes",1,0)+IF(J66="High",0.5,IF(J66="Medium",0.25,IF(J66="Low",0)))+K66+IF(L66="High",0.25,IF(L66="Medium",0,IF(L66="Low",-0.25)))+IF(M66="Yes",1,0)+IF(N66="Yes",0.25,0)</f>
        <v>3</v>
      </c>
      <c r="P66" s="75" t="str">
        <f t="shared" si="5"/>
        <v>C</v>
      </c>
    </row>
    <row r="67" spans="2:16" ht="20.100000000000001" customHeight="1" x14ac:dyDescent="0.25">
      <c r="B67" s="70">
        <v>60</v>
      </c>
      <c r="C67" s="64">
        <v>4639</v>
      </c>
      <c r="D67" s="64">
        <v>371613</v>
      </c>
      <c r="E67" s="66">
        <v>13941</v>
      </c>
      <c r="F67" s="71">
        <f t="shared" ca="1" si="3"/>
        <v>82</v>
      </c>
      <c r="G67" s="76">
        <f t="shared" si="4"/>
        <v>2</v>
      </c>
      <c r="H67" s="74" t="s">
        <v>30</v>
      </c>
      <c r="I67" s="74"/>
      <c r="J67" s="62"/>
      <c r="K67" s="74"/>
      <c r="L67" s="63"/>
      <c r="M67" s="74"/>
      <c r="N67" s="74"/>
      <c r="O67" s="77">
        <f>ValuesTable[[#This Row],[Total Points for Assets and Revenue (calculated)
]]+IF(I67="Yes",1,0)+IF(J67="High",0.5,IF(J67="Medium",0.25,IF(J67="Low",0)))+K67+IF(L67="High",0.25,IF(L67="Medium",0,IF(L67="Low",-0.25)))+IF(M67="Yes",1,0)+IF(N67="Yes",0.25,0)</f>
        <v>2</v>
      </c>
      <c r="P67" s="75" t="str">
        <f t="shared" si="5"/>
        <v>D</v>
      </c>
    </row>
    <row r="68" spans="2:16" ht="20.100000000000001" customHeight="1" x14ac:dyDescent="0.25">
      <c r="B68" s="70">
        <v>61</v>
      </c>
      <c r="C68" s="64">
        <v>3567</v>
      </c>
      <c r="D68" s="64">
        <v>359278</v>
      </c>
      <c r="E68" s="66">
        <v>13429</v>
      </c>
      <c r="F68" s="71">
        <f t="shared" ca="1" si="3"/>
        <v>83</v>
      </c>
      <c r="G68" s="76">
        <f t="shared" si="4"/>
        <v>2</v>
      </c>
      <c r="H68" s="74" t="s">
        <v>30</v>
      </c>
      <c r="I68" s="74"/>
      <c r="J68" s="62"/>
      <c r="K68" s="74"/>
      <c r="L68" s="63"/>
      <c r="M68" s="74"/>
      <c r="N68" s="74"/>
      <c r="O68" s="77">
        <f>ValuesTable[[#This Row],[Total Points for Assets and Revenue (calculated)
]]+IF(I68="Yes",1,0)+IF(J68="High",0.5,IF(J68="Medium",0.25,IF(J68="Low",0)))+K68+IF(L68="High",0.25,IF(L68="Medium",0,IF(L68="Low",-0.25)))+IF(M68="Yes",1,0)+IF(N68="Yes",0.25,0)</f>
        <v>2</v>
      </c>
      <c r="P68" s="75" t="str">
        <f t="shared" si="5"/>
        <v>D</v>
      </c>
    </row>
    <row r="69" spans="2:16" ht="20.100000000000001" customHeight="1" x14ac:dyDescent="0.25">
      <c r="B69" s="70">
        <v>62</v>
      </c>
      <c r="C69" s="64">
        <v>3123</v>
      </c>
      <c r="D69" s="64">
        <v>350362</v>
      </c>
      <c r="E69" s="66">
        <v>21130</v>
      </c>
      <c r="F69" s="71">
        <f t="shared" ca="1" si="3"/>
        <v>62</v>
      </c>
      <c r="G69" s="76">
        <f t="shared" si="4"/>
        <v>2</v>
      </c>
      <c r="H69" s="74" t="s">
        <v>24</v>
      </c>
      <c r="I69" s="74"/>
      <c r="J69" s="62"/>
      <c r="K69" s="74"/>
      <c r="L69" s="63"/>
      <c r="M69" s="74"/>
      <c r="N69" s="74"/>
      <c r="O69" s="77">
        <f>ValuesTable[[#This Row],[Total Points for Assets and Revenue (calculated)
]]+IF(I69="Yes",1,0)+IF(J69="High",0.5,IF(J69="Medium",0.25,IF(J69="Low",0)))+K69+IF(L69="High",0.25,IF(L69="Medium",0,IF(L69="Low",-0.25)))+IF(M69="Yes",1,0)+IF(N69="Yes",0.25,0)</f>
        <v>2</v>
      </c>
      <c r="P69" s="75" t="str">
        <f t="shared" si="5"/>
        <v>D</v>
      </c>
    </row>
    <row r="70" spans="2:16" ht="20.100000000000001" customHeight="1" x14ac:dyDescent="0.25">
      <c r="B70" s="70">
        <v>63</v>
      </c>
      <c r="C70" s="64">
        <v>6357</v>
      </c>
      <c r="D70" s="64">
        <v>341536</v>
      </c>
      <c r="E70" s="66">
        <v>16310</v>
      </c>
      <c r="F70" s="71">
        <f t="shared" ca="1" si="3"/>
        <v>75</v>
      </c>
      <c r="G70" s="76">
        <f t="shared" si="4"/>
        <v>3</v>
      </c>
      <c r="H70" s="74" t="s">
        <v>30</v>
      </c>
      <c r="I70" s="74"/>
      <c r="J70" s="62"/>
      <c r="K70" s="74"/>
      <c r="L70" s="63"/>
      <c r="M70" s="74"/>
      <c r="N70" s="74"/>
      <c r="O70" s="77">
        <f>ValuesTable[[#This Row],[Total Points for Assets and Revenue (calculated)
]]+IF(I70="Yes",1,0)+IF(J70="High",0.5,IF(J70="Medium",0.25,IF(J70="Low",0)))+K70+IF(L70="High",0.25,IF(L70="Medium",0,IF(L70="Low",-0.25)))+IF(M70="Yes",1,0)+IF(N70="Yes",0.25,0)</f>
        <v>3</v>
      </c>
      <c r="P70" s="75" t="str">
        <f t="shared" si="5"/>
        <v>C</v>
      </c>
    </row>
    <row r="71" spans="2:16" ht="20.100000000000001" customHeight="1" x14ac:dyDescent="0.25">
      <c r="B71" s="70">
        <v>64</v>
      </c>
      <c r="C71" s="64">
        <v>3204</v>
      </c>
      <c r="D71" s="64">
        <v>321909</v>
      </c>
      <c r="E71" s="66">
        <v>17400</v>
      </c>
      <c r="F71" s="71">
        <f t="shared" ca="1" si="3"/>
        <v>72</v>
      </c>
      <c r="G71" s="76">
        <f t="shared" si="4"/>
        <v>2</v>
      </c>
      <c r="H71" s="74" t="s">
        <v>30</v>
      </c>
      <c r="I71" s="74"/>
      <c r="J71" s="62"/>
      <c r="K71" s="74"/>
      <c r="L71" s="63"/>
      <c r="M71" s="74"/>
      <c r="N71" s="74"/>
      <c r="O71" s="77">
        <f>ValuesTable[[#This Row],[Total Points for Assets and Revenue (calculated)
]]+IF(I71="Yes",1,0)+IF(J71="High",0.5,IF(J71="Medium",0.25,IF(J71="Low",0)))+K71+IF(L71="High",0.25,IF(L71="Medium",0,IF(L71="Low",-0.25)))+IF(M71="Yes",1,0)+IF(N71="Yes",0.25,0)</f>
        <v>2</v>
      </c>
      <c r="P71" s="75" t="str">
        <f t="shared" si="5"/>
        <v>D</v>
      </c>
    </row>
    <row r="72" spans="2:16" ht="20.100000000000001" customHeight="1" x14ac:dyDescent="0.25">
      <c r="B72" s="70">
        <v>65</v>
      </c>
      <c r="C72" s="64">
        <v>3201</v>
      </c>
      <c r="D72" s="64">
        <v>313373</v>
      </c>
      <c r="E72" s="66">
        <v>16604</v>
      </c>
      <c r="F72" s="71">
        <f t="shared" ref="F72:F90" ca="1" si="6">IF(E72&lt;&gt;"",INT(YEARFRAC(E72,TODAY())),"")</f>
        <v>74</v>
      </c>
      <c r="G72" s="76">
        <f t="shared" ref="G72:G90" si="7">IF(OR(D72&gt;1500000,C72&gt;15000),5,IF(OR(D72&gt;1000000,C72&gt;10000),4,IF(OR(D72&gt;500000,C72&gt;5000),3,IF(OR(D72&gt;250000,C72&gt;2500),2,IF(OR(D72&gt;100000,C72&gt;1000),1,0)))))</f>
        <v>2</v>
      </c>
      <c r="H72" s="74" t="s">
        <v>30</v>
      </c>
      <c r="I72" s="74"/>
      <c r="J72" s="62"/>
      <c r="K72" s="74"/>
      <c r="L72" s="63"/>
      <c r="M72" s="74"/>
      <c r="N72" s="74"/>
      <c r="O72" s="77">
        <f>ValuesTable[[#This Row],[Total Points for Assets and Revenue (calculated)
]]+IF(I72="Yes",1,0)+IF(J72="High",0.5,IF(J72="Medium",0.25,IF(J72="Low",0)))+K72+IF(L72="High",0.25,IF(L72="Medium",0,IF(L72="Low",-0.25)))+IF(M72="Yes",1,0)+IF(N72="Yes",0.25,0)</f>
        <v>2</v>
      </c>
      <c r="P72" s="75" t="str">
        <f t="shared" ref="P72:P90" si="8">IF(O72&gt;6,"A+",IF(O72&gt;4,"A",IF(O72&gt;3,"B",IF(O72&gt;2,"C","D"))))</f>
        <v>D</v>
      </c>
    </row>
    <row r="73" spans="2:16" ht="20.100000000000001" customHeight="1" x14ac:dyDescent="0.25">
      <c r="B73" s="70">
        <v>66</v>
      </c>
      <c r="C73" s="64">
        <v>5926</v>
      </c>
      <c r="D73" s="64">
        <v>312349</v>
      </c>
      <c r="E73" s="66">
        <v>19545</v>
      </c>
      <c r="F73" s="71">
        <f t="shared" ca="1" si="6"/>
        <v>66</v>
      </c>
      <c r="G73" s="76">
        <f t="shared" si="7"/>
        <v>3</v>
      </c>
      <c r="H73" s="74" t="s">
        <v>30</v>
      </c>
      <c r="I73" s="74"/>
      <c r="J73" s="62"/>
      <c r="K73" s="74"/>
      <c r="L73" s="63"/>
      <c r="M73" s="74"/>
      <c r="N73" s="74"/>
      <c r="O73" s="77">
        <f>ValuesTable[[#This Row],[Total Points for Assets and Revenue (calculated)
]]+IF(I73="Yes",1,0)+IF(J73="High",0.5,IF(J73="Medium",0.25,IF(J73="Low",0)))+K73+IF(L73="High",0.25,IF(L73="Medium",0,IF(L73="Low",-0.25)))+IF(M73="Yes",1,0)+IF(N73="Yes",0.25,0)</f>
        <v>3</v>
      </c>
      <c r="P73" s="75" t="str">
        <f t="shared" si="8"/>
        <v>C</v>
      </c>
    </row>
    <row r="74" spans="2:16" ht="20.100000000000001" customHeight="1" x14ac:dyDescent="0.25">
      <c r="B74" s="70">
        <v>67</v>
      </c>
      <c r="C74" s="64">
        <v>5181</v>
      </c>
      <c r="D74" s="64">
        <v>262789</v>
      </c>
      <c r="E74" s="66">
        <v>15575</v>
      </c>
      <c r="F74" s="71">
        <f t="shared" ca="1" si="6"/>
        <v>77</v>
      </c>
      <c r="G74" s="76">
        <f t="shared" si="7"/>
        <v>3</v>
      </c>
      <c r="H74" s="74" t="s">
        <v>30</v>
      </c>
      <c r="I74" s="74"/>
      <c r="J74" s="62"/>
      <c r="K74" s="74"/>
      <c r="L74" s="63"/>
      <c r="M74" s="74"/>
      <c r="N74" s="74"/>
      <c r="O74" s="77">
        <f>ValuesTable[[#This Row],[Total Points for Assets and Revenue (calculated)
]]+IF(I74="Yes",1,0)+IF(J74="High",0.5,IF(J74="Medium",0.25,IF(J74="Low",0)))+K74+IF(L74="High",0.25,IF(L74="Medium",0,IF(L74="Low",-0.25)))+IF(M74="Yes",1,0)+IF(N74="Yes",0.25,0)</f>
        <v>3</v>
      </c>
      <c r="P74" s="75" t="str">
        <f t="shared" si="8"/>
        <v>C</v>
      </c>
    </row>
    <row r="75" spans="2:16" ht="20.100000000000001" customHeight="1" x14ac:dyDescent="0.25">
      <c r="B75" s="70">
        <v>68</v>
      </c>
      <c r="C75" s="64">
        <v>3855</v>
      </c>
      <c r="D75" s="64">
        <v>260807</v>
      </c>
      <c r="E75" s="66">
        <v>22332</v>
      </c>
      <c r="F75" s="71">
        <f t="shared" ca="1" si="6"/>
        <v>59</v>
      </c>
      <c r="G75" s="76">
        <f t="shared" si="7"/>
        <v>2</v>
      </c>
      <c r="H75" s="74" t="s">
        <v>24</v>
      </c>
      <c r="I75" s="74"/>
      <c r="J75" s="62"/>
      <c r="K75" s="74"/>
      <c r="L75" s="63"/>
      <c r="M75" s="74"/>
      <c r="N75" s="74"/>
      <c r="O75" s="77">
        <f>ValuesTable[[#This Row],[Total Points for Assets and Revenue (calculated)
]]+IF(I75="Yes",1,0)+IF(J75="High",0.5,IF(J75="Medium",0.25,IF(J75="Low",0)))+K75+IF(L75="High",0.25,IF(L75="Medium",0,IF(L75="Low",-0.25)))+IF(M75="Yes",1,0)+IF(N75="Yes",0.25,0)</f>
        <v>2</v>
      </c>
      <c r="P75" s="75" t="str">
        <f t="shared" si="8"/>
        <v>D</v>
      </c>
    </row>
    <row r="76" spans="2:16" ht="20.100000000000001" customHeight="1" x14ac:dyDescent="0.25">
      <c r="B76" s="70">
        <v>69</v>
      </c>
      <c r="C76" s="64">
        <v>2092</v>
      </c>
      <c r="D76" s="64">
        <v>233752</v>
      </c>
      <c r="E76" s="66">
        <v>32646</v>
      </c>
      <c r="F76" s="71">
        <f t="shared" ca="1" si="6"/>
        <v>30</v>
      </c>
      <c r="G76" s="76">
        <f t="shared" si="7"/>
        <v>1</v>
      </c>
      <c r="H76" s="74" t="s">
        <v>24</v>
      </c>
      <c r="I76" s="74"/>
      <c r="J76" s="62"/>
      <c r="K76" s="74"/>
      <c r="L76" s="63"/>
      <c r="M76" s="74"/>
      <c r="N76" s="74"/>
      <c r="O76" s="77">
        <f>ValuesTable[[#This Row],[Total Points for Assets and Revenue (calculated)
]]+IF(I76="Yes",1,0)+IF(J76="High",0.5,IF(J76="Medium",0.25,IF(J76="Low",0)))+K76+IF(L76="High",0.25,IF(L76="Medium",0,IF(L76="Low",-0.25)))+IF(M76="Yes",1,0)+IF(N76="Yes",0.25,0)</f>
        <v>1</v>
      </c>
      <c r="P76" s="75" t="str">
        <f t="shared" si="8"/>
        <v>D</v>
      </c>
    </row>
    <row r="77" spans="2:16" ht="20.100000000000001" customHeight="1" x14ac:dyDescent="0.25">
      <c r="B77" s="70">
        <v>70</v>
      </c>
      <c r="C77" s="64">
        <v>4292</v>
      </c>
      <c r="D77" s="64">
        <v>214525</v>
      </c>
      <c r="E77" s="66">
        <v>20345</v>
      </c>
      <c r="F77" s="71">
        <f t="shared" ca="1" si="6"/>
        <v>64</v>
      </c>
      <c r="G77" s="76">
        <f t="shared" si="7"/>
        <v>2</v>
      </c>
      <c r="H77" s="74" t="s">
        <v>24</v>
      </c>
      <c r="I77" s="74"/>
      <c r="J77" s="62"/>
      <c r="K77" s="74"/>
      <c r="L77" s="63"/>
      <c r="M77" s="74"/>
      <c r="N77" s="74"/>
      <c r="O77" s="77">
        <f>ValuesTable[[#This Row],[Total Points for Assets and Revenue (calculated)
]]+IF(I77="Yes",1,0)+IF(J77="High",0.5,IF(J77="Medium",0.25,IF(J77="Low",0)))+K77+IF(L77="High",0.25,IF(L77="Medium",0,IF(L77="Low",-0.25)))+IF(M77="Yes",1,0)+IF(N77="Yes",0.25,0)</f>
        <v>2</v>
      </c>
      <c r="P77" s="75" t="str">
        <f t="shared" si="8"/>
        <v>D</v>
      </c>
    </row>
    <row r="78" spans="2:16" ht="20.100000000000001" customHeight="1" x14ac:dyDescent="0.25">
      <c r="B78" s="70">
        <v>71</v>
      </c>
      <c r="C78" s="64">
        <v>1626</v>
      </c>
      <c r="D78" s="64">
        <v>163414</v>
      </c>
      <c r="E78" s="70"/>
      <c r="F78" s="71" t="str">
        <f t="shared" ca="1" si="6"/>
        <v/>
      </c>
      <c r="G78" s="76">
        <f t="shared" si="7"/>
        <v>1</v>
      </c>
      <c r="H78" s="74" t="s">
        <v>30</v>
      </c>
      <c r="I78" s="74"/>
      <c r="J78" s="62"/>
      <c r="K78" s="74"/>
      <c r="L78" s="63"/>
      <c r="M78" s="74"/>
      <c r="N78" s="74"/>
      <c r="O78" s="77">
        <f>ValuesTable[[#This Row],[Total Points for Assets and Revenue (calculated)
]]+IF(I78="Yes",1,0)+IF(J78="High",0.5,IF(J78="Medium",0.25,IF(J78="Low",0)))+K78+IF(L78="High",0.25,IF(L78="Medium",0,IF(L78="Low",-0.25)))+IF(M78="Yes",1,0)+IF(N78="Yes",0.25,0)</f>
        <v>1</v>
      </c>
      <c r="P78" s="75" t="str">
        <f t="shared" si="8"/>
        <v>D</v>
      </c>
    </row>
    <row r="79" spans="2:16" ht="20.100000000000001" customHeight="1" x14ac:dyDescent="0.25">
      <c r="B79" s="70">
        <v>72</v>
      </c>
      <c r="C79" s="64">
        <v>1600</v>
      </c>
      <c r="D79" s="64">
        <v>153190</v>
      </c>
      <c r="E79" s="66">
        <v>17087</v>
      </c>
      <c r="F79" s="71">
        <f t="shared" ca="1" si="6"/>
        <v>73</v>
      </c>
      <c r="G79" s="76">
        <f t="shared" si="7"/>
        <v>1</v>
      </c>
      <c r="H79" s="74" t="s">
        <v>30</v>
      </c>
      <c r="I79" s="74"/>
      <c r="J79" s="62"/>
      <c r="K79" s="74"/>
      <c r="L79" s="63"/>
      <c r="M79" s="74"/>
      <c r="N79" s="74"/>
      <c r="O79" s="77">
        <f>ValuesTable[[#This Row],[Total Points for Assets and Revenue (calculated)
]]+IF(I79="Yes",1,0)+IF(J79="High",0.5,IF(J79="Medium",0.25,IF(J79="Low",0)))+K79+IF(L79="High",0.25,IF(L79="Medium",0,IF(L79="Low",-0.25)))+IF(M79="Yes",1,0)+IF(N79="Yes",0.25,0)</f>
        <v>1</v>
      </c>
      <c r="P79" s="75" t="str">
        <f t="shared" si="8"/>
        <v>D</v>
      </c>
    </row>
    <row r="80" spans="2:16" ht="20.100000000000001" customHeight="1" x14ac:dyDescent="0.25">
      <c r="B80" s="70">
        <v>73</v>
      </c>
      <c r="C80" s="64">
        <v>1800</v>
      </c>
      <c r="D80" s="64">
        <v>149584</v>
      </c>
      <c r="E80" s="66">
        <v>19549</v>
      </c>
      <c r="F80" s="71">
        <f t="shared" ca="1" si="6"/>
        <v>66</v>
      </c>
      <c r="G80" s="76">
        <f t="shared" si="7"/>
        <v>1</v>
      </c>
      <c r="H80" s="74" t="s">
        <v>30</v>
      </c>
      <c r="I80" s="74"/>
      <c r="J80" s="62"/>
      <c r="K80" s="74"/>
      <c r="L80" s="63"/>
      <c r="M80" s="74"/>
      <c r="N80" s="74"/>
      <c r="O80" s="77">
        <f>ValuesTable[[#This Row],[Total Points for Assets and Revenue (calculated)
]]+IF(I80="Yes",1,0)+IF(J80="High",0.5,IF(J80="Medium",0.25,IF(J80="Low",0)))+K80+IF(L80="High",0.25,IF(L80="Medium",0,IF(L80="Low",-0.25)))+IF(M80="Yes",1,0)+IF(N80="Yes",0.25,0)</f>
        <v>1</v>
      </c>
      <c r="P80" s="75" t="str">
        <f t="shared" si="8"/>
        <v>D</v>
      </c>
    </row>
    <row r="81" spans="2:16" ht="20.100000000000001" customHeight="1" x14ac:dyDescent="0.25">
      <c r="B81" s="70">
        <v>74</v>
      </c>
      <c r="C81" s="64">
        <v>1329</v>
      </c>
      <c r="D81" s="64">
        <v>148979</v>
      </c>
      <c r="E81" s="66">
        <v>19206</v>
      </c>
      <c r="F81" s="71">
        <f t="shared" ca="1" si="6"/>
        <v>67</v>
      </c>
      <c r="G81" s="76">
        <f t="shared" si="7"/>
        <v>1</v>
      </c>
      <c r="H81" s="74" t="s">
        <v>30</v>
      </c>
      <c r="I81" s="74"/>
      <c r="J81" s="62"/>
      <c r="K81" s="74"/>
      <c r="L81" s="63"/>
      <c r="M81" s="74"/>
      <c r="N81" s="74"/>
      <c r="O81" s="77">
        <f>ValuesTable[[#This Row],[Total Points for Assets and Revenue (calculated)
]]+IF(I81="Yes",1,0)+IF(J81="High",0.5,IF(J81="Medium",0.25,IF(J81="Low",0)))+K81+IF(L81="High",0.25,IF(L81="Medium",0,IF(L81="Low",-0.25)))+IF(M81="Yes",1,0)+IF(N81="Yes",0.25,0)</f>
        <v>1</v>
      </c>
      <c r="P81" s="75" t="str">
        <f t="shared" si="8"/>
        <v>D</v>
      </c>
    </row>
    <row r="82" spans="2:16" ht="20.100000000000001" customHeight="1" x14ac:dyDescent="0.25">
      <c r="B82" s="70">
        <v>75</v>
      </c>
      <c r="C82" s="64">
        <v>750</v>
      </c>
      <c r="D82" s="64">
        <v>142539</v>
      </c>
      <c r="E82" s="66">
        <v>21157</v>
      </c>
      <c r="F82" s="71">
        <f t="shared" ca="1" si="6"/>
        <v>62</v>
      </c>
      <c r="G82" s="76">
        <f t="shared" si="7"/>
        <v>1</v>
      </c>
      <c r="H82" s="74" t="s">
        <v>24</v>
      </c>
      <c r="I82" s="74"/>
      <c r="J82" s="62"/>
      <c r="K82" s="74"/>
      <c r="L82" s="63"/>
      <c r="M82" s="74"/>
      <c r="N82" s="74"/>
      <c r="O82" s="77">
        <f>ValuesTable[[#This Row],[Total Points for Assets and Revenue (calculated)
]]+IF(I82="Yes",1,0)+IF(J82="High",0.5,IF(J82="Medium",0.25,IF(J82="Low",0)))+K82+IF(L82="High",0.25,IF(L82="Medium",0,IF(L82="Low",-0.25)))+IF(M82="Yes",1,0)+IF(N82="Yes",0.25,0)</f>
        <v>1</v>
      </c>
      <c r="P82" s="75" t="str">
        <f t="shared" si="8"/>
        <v>D</v>
      </c>
    </row>
    <row r="83" spans="2:16" ht="20.100000000000001" customHeight="1" x14ac:dyDescent="0.25">
      <c r="B83" s="70">
        <v>76</v>
      </c>
      <c r="C83" s="64">
        <v>450</v>
      </c>
      <c r="D83" s="64">
        <v>126690</v>
      </c>
      <c r="E83" s="66">
        <v>19649</v>
      </c>
      <c r="F83" s="71">
        <f t="shared" ca="1" si="6"/>
        <v>66</v>
      </c>
      <c r="G83" s="76">
        <f t="shared" si="7"/>
        <v>1</v>
      </c>
      <c r="H83" s="74" t="s">
        <v>30</v>
      </c>
      <c r="I83" s="74"/>
      <c r="J83" s="62"/>
      <c r="K83" s="74"/>
      <c r="L83" s="63"/>
      <c r="M83" s="74"/>
      <c r="N83" s="74"/>
      <c r="O83" s="77">
        <f>ValuesTable[[#This Row],[Total Points for Assets and Revenue (calculated)
]]+IF(I83="Yes",1,0)+IF(J83="High",0.5,IF(J83="Medium",0.25,IF(J83="Low",0)))+K83+IF(L83="High",0.25,IF(L83="Medium",0,IF(L83="Low",-0.25)))+IF(M83="Yes",1,0)+IF(N83="Yes",0.25,0)</f>
        <v>1</v>
      </c>
      <c r="P83" s="75" t="str">
        <f t="shared" si="8"/>
        <v>D</v>
      </c>
    </row>
    <row r="84" spans="2:16" ht="20.100000000000001" customHeight="1" x14ac:dyDescent="0.25">
      <c r="B84" s="70">
        <v>77</v>
      </c>
      <c r="C84" s="64">
        <v>1800</v>
      </c>
      <c r="D84" s="64">
        <v>125385</v>
      </c>
      <c r="E84" s="66">
        <v>20454</v>
      </c>
      <c r="F84" s="71">
        <f t="shared" ca="1" si="6"/>
        <v>64</v>
      </c>
      <c r="G84" s="76">
        <f t="shared" si="7"/>
        <v>1</v>
      </c>
      <c r="H84" s="74" t="s">
        <v>24</v>
      </c>
      <c r="I84" s="74"/>
      <c r="J84" s="62"/>
      <c r="K84" s="74"/>
      <c r="L84" s="63"/>
      <c r="M84" s="74"/>
      <c r="N84" s="74"/>
      <c r="O84" s="77">
        <f>ValuesTable[[#This Row],[Total Points for Assets and Revenue (calculated)
]]+IF(I84="Yes",1,0)+IF(J84="High",0.5,IF(J84="Medium",0.25,IF(J84="Low",0)))+K84+IF(L84="High",0.25,IF(L84="Medium",0,IF(L84="Low",-0.25)))+IF(M84="Yes",1,0)+IF(N84="Yes",0.25,0)</f>
        <v>1</v>
      </c>
      <c r="P84" s="75" t="str">
        <f t="shared" si="8"/>
        <v>D</v>
      </c>
    </row>
    <row r="85" spans="2:16" ht="20.100000000000001" customHeight="1" x14ac:dyDescent="0.25">
      <c r="B85" s="70">
        <v>78</v>
      </c>
      <c r="C85" s="64">
        <v>1800</v>
      </c>
      <c r="D85" s="64">
        <v>106434</v>
      </c>
      <c r="E85" s="66">
        <v>18261</v>
      </c>
      <c r="F85" s="71">
        <f t="shared" ca="1" si="6"/>
        <v>70</v>
      </c>
      <c r="G85" s="76">
        <f t="shared" si="7"/>
        <v>1</v>
      </c>
      <c r="H85" s="74" t="s">
        <v>30</v>
      </c>
      <c r="I85" s="74"/>
      <c r="J85" s="62"/>
      <c r="K85" s="74"/>
      <c r="L85" s="63"/>
      <c r="M85" s="74"/>
      <c r="N85" s="74"/>
      <c r="O85" s="77">
        <f>ValuesTable[[#This Row],[Total Points for Assets and Revenue (calculated)
]]+IF(I85="Yes",1,0)+IF(J85="High",0.5,IF(J85="Medium",0.25,IF(J85="Low",0)))+K85+IF(L85="High",0.25,IF(L85="Medium",0,IF(L85="Low",-0.25)))+IF(M85="Yes",1,0)+IF(N85="Yes",0.25,0)</f>
        <v>1</v>
      </c>
      <c r="P85" s="75" t="str">
        <f t="shared" si="8"/>
        <v>D</v>
      </c>
    </row>
    <row r="86" spans="2:16" ht="20.100000000000001" customHeight="1" x14ac:dyDescent="0.25">
      <c r="B86" s="70">
        <v>79</v>
      </c>
      <c r="C86" s="64">
        <v>800</v>
      </c>
      <c r="D86" s="64">
        <v>92738</v>
      </c>
      <c r="E86" s="66">
        <v>17539</v>
      </c>
      <c r="F86" s="71">
        <f t="shared" ca="1" si="6"/>
        <v>72</v>
      </c>
      <c r="G86" s="76">
        <f t="shared" si="7"/>
        <v>0</v>
      </c>
      <c r="H86" s="74" t="s">
        <v>30</v>
      </c>
      <c r="I86" s="74"/>
      <c r="J86" s="62"/>
      <c r="K86" s="74"/>
      <c r="L86" s="63"/>
      <c r="M86" s="74"/>
      <c r="N86" s="74"/>
      <c r="O86" s="77">
        <f>ValuesTable[[#This Row],[Total Points for Assets and Revenue (calculated)
]]+IF(I86="Yes",1,0)+IF(J86="High",0.5,IF(J86="Medium",0.25,IF(J86="Low",0)))+K86+IF(L86="High",0.25,IF(L86="Medium",0,IF(L86="Low",-0.25)))+IF(M86="Yes",1,0)+IF(N86="Yes",0.25,0)</f>
        <v>0</v>
      </c>
      <c r="P86" s="75" t="str">
        <f t="shared" si="8"/>
        <v>D</v>
      </c>
    </row>
    <row r="87" spans="2:16" ht="20.100000000000001" customHeight="1" x14ac:dyDescent="0.25">
      <c r="B87" s="70">
        <v>80</v>
      </c>
      <c r="C87" s="64">
        <v>600</v>
      </c>
      <c r="D87" s="64">
        <v>86338</v>
      </c>
      <c r="E87" s="66">
        <v>14207</v>
      </c>
      <c r="F87" s="71">
        <f t="shared" ca="1" si="6"/>
        <v>81</v>
      </c>
      <c r="G87" s="76">
        <f t="shared" si="7"/>
        <v>0</v>
      </c>
      <c r="H87" s="74" t="s">
        <v>30</v>
      </c>
      <c r="I87" s="74"/>
      <c r="J87" s="62"/>
      <c r="K87" s="74"/>
      <c r="L87" s="63"/>
      <c r="M87" s="74"/>
      <c r="N87" s="74"/>
      <c r="O87" s="77">
        <f>ValuesTable[[#This Row],[Total Points for Assets and Revenue (calculated)
]]+IF(I87="Yes",1,0)+IF(J87="High",0.5,IF(J87="Medium",0.25,IF(J87="Low",0)))+K87+IF(L87="High",0.25,IF(L87="Medium",0,IF(L87="Low",-0.25)))+IF(M87="Yes",1,0)+IF(N87="Yes",0.25,0)</f>
        <v>0</v>
      </c>
      <c r="P87" s="75" t="str">
        <f t="shared" si="8"/>
        <v>D</v>
      </c>
    </row>
    <row r="88" spans="2:16" ht="20.100000000000001" customHeight="1" x14ac:dyDescent="0.25">
      <c r="B88" s="70">
        <v>81</v>
      </c>
      <c r="C88" s="64">
        <v>600</v>
      </c>
      <c r="D88" s="64">
        <v>74898</v>
      </c>
      <c r="E88" s="66">
        <v>22124</v>
      </c>
      <c r="F88" s="71">
        <f t="shared" ca="1" si="6"/>
        <v>59</v>
      </c>
      <c r="G88" s="76">
        <f t="shared" si="7"/>
        <v>0</v>
      </c>
      <c r="H88" s="74" t="s">
        <v>24</v>
      </c>
      <c r="I88" s="74"/>
      <c r="J88" s="62"/>
      <c r="K88" s="74"/>
      <c r="L88" s="63"/>
      <c r="M88" s="74"/>
      <c r="N88" s="74"/>
      <c r="O88" s="77">
        <f>ValuesTable[[#This Row],[Total Points for Assets and Revenue (calculated)
]]+IF(I88="Yes",1,0)+IF(J88="High",0.5,IF(J88="Medium",0.25,IF(J88="Low",0)))+K88+IF(L88="High",0.25,IF(L88="Medium",0,IF(L88="Low",-0.25)))+IF(M88="Yes",1,0)+IF(N88="Yes",0.25,0)</f>
        <v>0</v>
      </c>
      <c r="P88" s="75" t="str">
        <f t="shared" si="8"/>
        <v>D</v>
      </c>
    </row>
    <row r="89" spans="2:16" ht="20.100000000000001" customHeight="1" x14ac:dyDescent="0.25">
      <c r="B89" s="70">
        <v>82</v>
      </c>
      <c r="C89" s="64">
        <v>275</v>
      </c>
      <c r="D89" s="64">
        <v>46663</v>
      </c>
      <c r="E89" s="66">
        <v>17644</v>
      </c>
      <c r="F89" s="71">
        <f t="shared" ca="1" si="6"/>
        <v>72</v>
      </c>
      <c r="G89" s="76">
        <f t="shared" si="7"/>
        <v>0</v>
      </c>
      <c r="H89" s="74" t="s">
        <v>30</v>
      </c>
      <c r="I89" s="74"/>
      <c r="J89" s="62"/>
      <c r="K89" s="74"/>
      <c r="L89" s="63"/>
      <c r="M89" s="74"/>
      <c r="N89" s="74"/>
      <c r="O89" s="77">
        <f>ValuesTable[[#This Row],[Total Points for Assets and Revenue (calculated)
]]+IF(I89="Yes",1,0)+IF(J89="High",0.5,IF(J89="Medium",0.25,IF(J89="Low",0)))+K89+IF(L89="High",0.25,IF(L89="Medium",0,IF(L89="Low",-0.25)))+IF(M89="Yes",1,0)+IF(N89="Yes",0.25,0)</f>
        <v>0</v>
      </c>
      <c r="P89" s="75" t="str">
        <f t="shared" si="8"/>
        <v>D</v>
      </c>
    </row>
    <row r="90" spans="2:16" ht="20.100000000000001" customHeight="1" x14ac:dyDescent="0.25">
      <c r="B90" s="70">
        <v>83</v>
      </c>
      <c r="C90" s="64">
        <v>600</v>
      </c>
      <c r="D90" s="64">
        <v>40317</v>
      </c>
      <c r="E90" s="66">
        <v>18390</v>
      </c>
      <c r="F90" s="71">
        <f t="shared" ca="1" si="6"/>
        <v>69</v>
      </c>
      <c r="G90" s="76">
        <f t="shared" si="7"/>
        <v>0</v>
      </c>
      <c r="H90" s="74" t="s">
        <v>30</v>
      </c>
      <c r="I90" s="74"/>
      <c r="J90" s="62"/>
      <c r="K90" s="74"/>
      <c r="L90" s="63"/>
      <c r="M90" s="74"/>
      <c r="N90" s="74"/>
      <c r="O90" s="77">
        <f>ValuesTable[[#This Row],[Total Points for Assets and Revenue (calculated)
]]+IF(I90="Yes",1,0)+IF(J90="High",0.5,IF(J90="Medium",0.25,IF(J90="Low",0)))+K90+IF(L90="High",0.25,IF(L90="Medium",0,IF(L90="Low",-0.25)))+IF(M90="Yes",1,0)+IF(N90="Yes",0.25,0)</f>
        <v>0</v>
      </c>
      <c r="P90" s="75" t="str">
        <f t="shared" si="8"/>
        <v>D</v>
      </c>
    </row>
  </sheetData>
  <mergeCells count="3">
    <mergeCell ref="B4:G4"/>
    <mergeCell ref="B2:P2"/>
    <mergeCell ref="B1:P1"/>
  </mergeCells>
  <phoneticPr fontId="2" type="noConversion"/>
  <conditionalFormatting sqref="D8:D90">
    <cfRule type="expression" dxfId="23" priority="11">
      <formula>$D8=""</formula>
    </cfRule>
  </conditionalFormatting>
  <conditionalFormatting sqref="E8:E90">
    <cfRule type="expression" dxfId="22" priority="10">
      <formula>$E8=""</formula>
    </cfRule>
  </conditionalFormatting>
  <conditionalFormatting sqref="H8:H90">
    <cfRule type="expression" dxfId="21" priority="9">
      <formula>$H8=""</formula>
    </cfRule>
  </conditionalFormatting>
  <conditionalFormatting sqref="C8:C90">
    <cfRule type="expression" dxfId="20" priority="8">
      <formula>$C8=""</formula>
    </cfRule>
  </conditionalFormatting>
  <printOptions gridLines="1"/>
  <pageMargins left="0.22" right="0.17" top="0.35" bottom="0.28000000000000003" header="0.17" footer="0.17"/>
  <pageSetup fitToHeight="0" orientation="landscape" horizontalDpi="4294967293" verticalDpi="4294967293"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Keywords!$C$1:$C$3</xm:f>
          </x14:formula1>
          <xm:sqref>H8:H90</xm:sqref>
        </x14:dataValidation>
        <x14:dataValidation type="list" allowBlank="1" showInputMessage="1" showErrorMessage="1" xr:uid="{00000000-0002-0000-0100-000001000000}">
          <x14:formula1>
            <xm:f>Keywords!$A$1:$A$2</xm:f>
          </x14:formula1>
          <xm:sqref>M8:N90 I8:I90</xm:sqref>
        </x14:dataValidation>
        <x14:dataValidation type="list" allowBlank="1" showInputMessage="1" showErrorMessage="1" xr:uid="{00000000-0002-0000-0100-000002000000}">
          <x14:formula1>
            <xm:f>Keywords!$B$1:$B$3</xm:f>
          </x14:formula1>
          <xm:sqref>L8:L90 J8:J90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35DB86"/>
    <pageSetUpPr fitToPage="1"/>
  </sheetPr>
  <dimension ref="A1:Z37"/>
  <sheetViews>
    <sheetView showGridLines="0" zoomScaleNormal="100" zoomScalePageLayoutView="150" workbookViewId="0">
      <selection activeCell="M17" sqref="M17"/>
    </sheetView>
  </sheetViews>
  <sheetFormatPr defaultColWidth="8.7109375" defaultRowHeight="12" x14ac:dyDescent="0.25"/>
  <cols>
    <col min="1" max="1" width="3.7109375" style="19" customWidth="1"/>
    <col min="2" max="2" width="12.42578125" style="19" customWidth="1"/>
    <col min="3" max="3" width="10.28515625" style="19" customWidth="1"/>
    <col min="4" max="4" width="8.7109375" style="19"/>
    <col min="5" max="5" width="32.7109375" style="19" customWidth="1"/>
    <col min="6" max="6" width="8.28515625" style="19" customWidth="1"/>
    <col min="7" max="7" width="12.42578125" style="19" customWidth="1"/>
    <col min="8" max="8" width="12.140625" style="19" customWidth="1"/>
    <col min="9" max="9" width="8.7109375" style="19"/>
    <col min="10" max="10" width="12.7109375" style="19" customWidth="1"/>
    <col min="11" max="16384" width="8.7109375" style="19"/>
  </cols>
  <sheetData>
    <row r="1" spans="1:26" s="31" customFormat="1" ht="39.950000000000003" customHeight="1" x14ac:dyDescent="0.25">
      <c r="B1" s="143" t="s">
        <v>48</v>
      </c>
      <c r="C1" s="143"/>
      <c r="D1" s="143"/>
      <c r="E1" s="143"/>
      <c r="F1" s="143"/>
      <c r="G1" s="143"/>
      <c r="H1" s="143"/>
      <c r="I1" s="143"/>
      <c r="J1" s="143"/>
      <c r="K1" s="32"/>
      <c r="L1" s="32"/>
      <c r="M1" s="32"/>
      <c r="N1" s="32"/>
      <c r="O1" s="32"/>
      <c r="P1" s="32"/>
      <c r="Q1" s="32"/>
      <c r="R1" s="33"/>
      <c r="S1" s="33"/>
      <c r="T1" s="33"/>
      <c r="U1" s="33"/>
      <c r="V1" s="33"/>
      <c r="W1" s="33"/>
      <c r="X1" s="33"/>
      <c r="Y1" s="33"/>
      <c r="Z1" s="33"/>
    </row>
    <row r="2" spans="1:26" ht="2.1" customHeight="1" x14ac:dyDescent="0.25">
      <c r="A2" s="29"/>
      <c r="B2" s="147"/>
      <c r="C2" s="147"/>
      <c r="D2" s="147"/>
      <c r="E2" s="147"/>
      <c r="F2" s="147"/>
      <c r="G2" s="147"/>
      <c r="H2" s="147"/>
      <c r="I2" s="147"/>
      <c r="J2" s="147"/>
      <c r="K2" s="79"/>
      <c r="L2" s="79"/>
      <c r="M2" s="79"/>
      <c r="N2" s="79"/>
      <c r="O2" s="79"/>
      <c r="P2" s="79"/>
      <c r="Q2" s="30"/>
      <c r="R2" s="16"/>
      <c r="S2" s="16"/>
      <c r="T2" s="16"/>
      <c r="U2" s="16"/>
      <c r="V2" s="16"/>
      <c r="W2" s="16"/>
      <c r="X2" s="16"/>
      <c r="Y2" s="16"/>
      <c r="Z2" s="16"/>
    </row>
    <row r="3" spans="1:26" s="34" customFormat="1" x14ac:dyDescent="0.25">
      <c r="A3" s="80"/>
      <c r="B3" s="81"/>
      <c r="C3" s="81"/>
      <c r="D3" s="81"/>
      <c r="E3" s="81"/>
      <c r="F3" s="81"/>
      <c r="G3" s="81"/>
      <c r="H3" s="81"/>
      <c r="I3" s="81"/>
      <c r="J3" s="81"/>
      <c r="K3" s="81"/>
      <c r="L3" s="81"/>
      <c r="M3" s="81"/>
      <c r="N3" s="81"/>
      <c r="O3" s="81"/>
      <c r="P3" s="81"/>
      <c r="Q3" s="82"/>
      <c r="R3" s="83"/>
      <c r="S3" s="83"/>
      <c r="T3" s="83"/>
      <c r="U3" s="83"/>
      <c r="V3" s="83"/>
      <c r="W3" s="83"/>
      <c r="X3" s="83"/>
      <c r="Y3" s="83"/>
      <c r="Z3" s="83"/>
    </row>
    <row r="4" spans="1:26" s="7" customFormat="1" ht="22.35" customHeight="1" x14ac:dyDescent="0.25">
      <c r="B4" s="146" t="s">
        <v>21</v>
      </c>
      <c r="C4" s="146"/>
      <c r="D4" s="146"/>
      <c r="E4" s="146"/>
      <c r="F4" s="146"/>
      <c r="G4" s="146"/>
      <c r="H4" s="146"/>
      <c r="I4" s="146"/>
      <c r="J4" s="146"/>
    </row>
    <row r="5" spans="1:26" ht="19.350000000000001" customHeight="1" x14ac:dyDescent="0.25">
      <c r="B5" s="84" t="s">
        <v>0</v>
      </c>
      <c r="C5" s="85" t="s">
        <v>8</v>
      </c>
      <c r="D5" s="85" t="s">
        <v>9</v>
      </c>
      <c r="E5" s="86" t="s">
        <v>7</v>
      </c>
      <c r="F5" s="85" t="s">
        <v>6</v>
      </c>
      <c r="G5" s="86" t="s">
        <v>10</v>
      </c>
      <c r="H5" s="87" t="s">
        <v>11</v>
      </c>
      <c r="I5" s="85" t="s">
        <v>6</v>
      </c>
      <c r="J5" s="86" t="s">
        <v>12</v>
      </c>
    </row>
    <row r="6" spans="1:26" ht="19.350000000000001" customHeight="1" x14ac:dyDescent="0.25">
      <c r="B6" s="88" t="s">
        <v>1</v>
      </c>
      <c r="C6" s="89">
        <f>COUNTIF(ValuesTable[Segment
''A+'' Client greater 6
''A'' Clients between 6 to 4
''C'' Clients between 2.99 to 2
''D'' Client less than 2
],Summary!B6)</f>
        <v>3</v>
      </c>
      <c r="D6" s="90">
        <f>C6/$C$11</f>
        <v>3.614457831325301E-2</v>
      </c>
      <c r="E6" s="91">
        <f>SUMIF(ValuesTable[Segment
''A+'' Client greater 6
''A'' Clients between 6 to 4
''C'' Clients between 2.99 to 2
''D'' Client less than 2
],Summary!B6,ValuesTable[REVENUE
])</f>
        <v>255865.60000000001</v>
      </c>
      <c r="F6" s="90">
        <f>E6/$E$11</f>
        <v>0.2211974249192698</v>
      </c>
      <c r="G6" s="92">
        <f>IF(C6&lt;&gt;0,E6/C6,"")</f>
        <v>85288.53333333334</v>
      </c>
      <c r="H6" s="93">
        <f>SUMIF(ValuesTable[Segment
''A+'' Client greater 6
''A'' Clients between 6 to 4
''C'' Clients between 2.99 to 2
''D'' Client less than 2
],Summary!B6,ValuesTable[AUM/AUA ($)
])</f>
        <v>32932339.02</v>
      </c>
      <c r="I6" s="90">
        <f>H6/$H$11</f>
        <v>0.30543470199627909</v>
      </c>
      <c r="J6" s="92">
        <f>IF(C6&lt;&gt;0,H6/C6,"")</f>
        <v>10977446.34</v>
      </c>
    </row>
    <row r="7" spans="1:26" ht="19.350000000000001" customHeight="1" x14ac:dyDescent="0.25">
      <c r="B7" s="94" t="s">
        <v>2</v>
      </c>
      <c r="C7" s="95">
        <f>COUNTIF(ValuesTable[Segment
''A+'' Client greater 6
''A'' Clients between 6 to 4
''C'' Clients between 2.99 to 2
''D'' Client less than 2
],Summary!B7)</f>
        <v>21</v>
      </c>
      <c r="D7" s="96">
        <f>C7/$C$11</f>
        <v>0.25301204819277107</v>
      </c>
      <c r="E7" s="97">
        <f>SUMIF(ValuesTable[Segment
''A+'' Client greater 6
''A'' Clients between 6 to 4
''C'' Clients between 2.99 to 2
''D'' Client less than 2
],Summary!B7,ValuesTable[REVENUE
])</f>
        <v>514495.95999999996</v>
      </c>
      <c r="F7" s="96">
        <f>E7/$E$11</f>
        <v>0.44478500229561002</v>
      </c>
      <c r="G7" s="98">
        <f t="shared" ref="G7:G10" si="0">IF(C7&lt;&gt;0,E7/C7,"")</f>
        <v>24499.807619047617</v>
      </c>
      <c r="H7" s="99">
        <f>SUMIF(ValuesTable[Segment
''A+'' Client greater 6
''A'' Clients between 6 to 4
''C'' Clients between 2.99 to 2
''D'' Client less than 2
],Summary!B7,ValuesTable[AUM/AUA ($)
])</f>
        <v>46748170.57</v>
      </c>
      <c r="I7" s="96">
        <f>H7/$H$11</f>
        <v>0.43357119390298243</v>
      </c>
      <c r="J7" s="98">
        <f t="shared" ref="J7:J10" si="1">IF(C7&lt;&gt;0,H7/C7,"")</f>
        <v>2226103.3604761907</v>
      </c>
    </row>
    <row r="8" spans="1:26" ht="19.350000000000001" customHeight="1" x14ac:dyDescent="0.25">
      <c r="B8" s="88" t="s">
        <v>3</v>
      </c>
      <c r="C8" s="89">
        <f>COUNTIF(ValuesTable[Segment
''A+'' Client greater 6
''A'' Clients between 6 to 4
''C'' Clients between 2.99 to 2
''D'' Client less than 2
],Summary!B8)</f>
        <v>13</v>
      </c>
      <c r="D8" s="90">
        <f>C8/$C$11</f>
        <v>0.15662650602409639</v>
      </c>
      <c r="E8" s="100">
        <f>SUMIF(ValuesTable[Segment
''A+'' Client greater 6
''A'' Clients between 6 to 4
''C'' Clients between 2.99 to 2
''D'' Client less than 2
],Summary!B8,ValuesTable[REVENUE
])</f>
        <v>156613</v>
      </c>
      <c r="F8" s="90">
        <f>E8/$E$11</f>
        <v>0.13539292624284624</v>
      </c>
      <c r="G8" s="92">
        <f t="shared" si="0"/>
        <v>12047.153846153846</v>
      </c>
      <c r="H8" s="101">
        <f>SUMIF(ValuesTable[Segment
''A+'' Client greater 6
''A'' Clients between 6 to 4
''C'' Clients between 2.99 to 2
''D'' Client less than 2
],Summary!B8,ValuesTable[AUM/AUA ($)
])</f>
        <v>11273586</v>
      </c>
      <c r="I8" s="90">
        <f>H8/$H$11</f>
        <v>0.10455814809413511</v>
      </c>
      <c r="J8" s="92">
        <f t="shared" si="1"/>
        <v>867198.92307692312</v>
      </c>
    </row>
    <row r="9" spans="1:26" ht="19.350000000000001" customHeight="1" x14ac:dyDescent="0.25">
      <c r="B9" s="94" t="s">
        <v>4</v>
      </c>
      <c r="C9" s="95">
        <f>COUNTIF(ValuesTable[Segment
''A+'' Client greater 6
''A'' Clients between 6 to 4
''C'' Clients between 2.99 to 2
''D'' Client less than 2
],Summary!B9)</f>
        <v>24</v>
      </c>
      <c r="D9" s="96">
        <f>C9/$C$11</f>
        <v>0.28915662650602408</v>
      </c>
      <c r="E9" s="97">
        <f>SUMIF(ValuesTable[Segment
''A+'' Client greater 6
''A'' Clients between 6 to 4
''C'' Clients between 2.99 to 2
''D'' Client less than 2
],Summary!B9,ValuesTable[REVENUE
])</f>
        <v>183661</v>
      </c>
      <c r="F9" s="96">
        <f>E9/$E$11</f>
        <v>0.15877609283193211</v>
      </c>
      <c r="G9" s="98">
        <f t="shared" si="0"/>
        <v>7652.541666666667</v>
      </c>
      <c r="H9" s="99">
        <f>SUMIF(ValuesTable[Segment
''A+'' Client greater 6
''A'' Clients between 6 to 4
''C'' Clients between 2.99 to 2
''D'' Client less than 2
],Summary!B9,ValuesTable[AUM/AUA ($)
])</f>
        <v>12526687</v>
      </c>
      <c r="I9" s="96">
        <f>H9/$H$11</f>
        <v>0.11618017501040724</v>
      </c>
      <c r="J9" s="98">
        <f t="shared" si="1"/>
        <v>521945.29166666669</v>
      </c>
    </row>
    <row r="10" spans="1:26" ht="19.350000000000001" customHeight="1" x14ac:dyDescent="0.25">
      <c r="B10" s="102" t="s">
        <v>5</v>
      </c>
      <c r="C10" s="103">
        <f>COUNTIF(ValuesTable[Segment
''A+'' Client greater 6
''A'' Clients between 6 to 4
''C'' Clients between 2.99 to 2
''D'' Client less than 2
],Summary!B10)</f>
        <v>22</v>
      </c>
      <c r="D10" s="104">
        <f>C10/$C$11</f>
        <v>0.26506024096385544</v>
      </c>
      <c r="E10" s="105">
        <f>SUMIF(ValuesTable[Segment
''A+'' Client greater 6
''A'' Clients between 6 to 4
''C'' Clients between 2.99 to 2
''D'' Client less than 2
],Summary!B10,ValuesTable[REVENUE
])</f>
        <v>46094</v>
      </c>
      <c r="F10" s="104">
        <f>E10/$E$11</f>
        <v>3.9848553710341766E-2</v>
      </c>
      <c r="G10" s="106">
        <f t="shared" si="0"/>
        <v>2095.181818181818</v>
      </c>
      <c r="H10" s="107">
        <f>SUMIF(ValuesTable[Segment
''A+'' Client greater 6
''A'' Clients between 6 to 4
''C'' Clients between 2.99 to 2
''D'' Client less than 2
],Summary!B10,ValuesTable[AUM/AUA ($)
])</f>
        <v>4340427</v>
      </c>
      <c r="I10" s="104">
        <f>H10/$H$11</f>
        <v>4.025578099619611E-2</v>
      </c>
      <c r="J10" s="106">
        <f t="shared" si="1"/>
        <v>197292.13636363635</v>
      </c>
    </row>
    <row r="11" spans="1:26" ht="19.350000000000001" customHeight="1" x14ac:dyDescent="0.25">
      <c r="B11" s="94" t="s">
        <v>50</v>
      </c>
      <c r="C11" s="108">
        <f>COUNTA(ValuesTable[
 ])</f>
        <v>83</v>
      </c>
      <c r="D11" s="108"/>
      <c r="E11" s="109">
        <f>SUM(ValuesTable[REVENUE
])</f>
        <v>1156729.56</v>
      </c>
      <c r="F11" s="108"/>
      <c r="G11" s="108"/>
      <c r="H11" s="109">
        <f>SUM(ValuesTable[AUM/AUA ($)
])</f>
        <v>107821209.59</v>
      </c>
      <c r="I11" s="110"/>
      <c r="J11" s="110"/>
    </row>
    <row r="12" spans="1:26" ht="19.350000000000001" customHeight="1" x14ac:dyDescent="0.25">
      <c r="B12" s="111" t="s">
        <v>10</v>
      </c>
      <c r="C12" s="112">
        <f>E11/C11</f>
        <v>13936.500722891567</v>
      </c>
      <c r="D12" s="113"/>
      <c r="E12" s="113"/>
      <c r="F12" s="113"/>
      <c r="G12" s="113"/>
      <c r="H12" s="113"/>
      <c r="I12" s="113"/>
      <c r="J12" s="113"/>
    </row>
    <row r="13" spans="1:26" ht="19.350000000000001" customHeight="1" x14ac:dyDescent="0.25">
      <c r="B13" s="94" t="s">
        <v>76</v>
      </c>
      <c r="C13" s="114">
        <f>H11/C11</f>
        <v>1299050.7179518072</v>
      </c>
      <c r="D13" s="108"/>
      <c r="E13" s="109"/>
      <c r="F13" s="108"/>
      <c r="G13" s="108"/>
      <c r="H13" s="109"/>
      <c r="I13" s="110"/>
      <c r="J13" s="110"/>
    </row>
    <row r="14" spans="1:26" ht="19.350000000000001" customHeight="1" x14ac:dyDescent="0.25">
      <c r="B14" s="111" t="s">
        <v>49</v>
      </c>
      <c r="C14" s="115">
        <f>E11/H11</f>
        <v>1.0728219098993323E-2</v>
      </c>
      <c r="D14" s="113"/>
      <c r="E14" s="113"/>
      <c r="F14" s="113"/>
      <c r="G14" s="113"/>
      <c r="H14" s="113"/>
      <c r="I14" s="113"/>
      <c r="J14" s="113"/>
    </row>
    <row r="15" spans="1:26" ht="19.350000000000001" customHeight="1" x14ac:dyDescent="0.25">
      <c r="B15" s="18"/>
      <c r="C15" s="116"/>
      <c r="D15" s="18"/>
      <c r="E15" s="18"/>
      <c r="F15" s="18"/>
      <c r="G15" s="18"/>
      <c r="H15" s="18"/>
      <c r="I15" s="18"/>
      <c r="J15" s="18"/>
    </row>
    <row r="16" spans="1:26" ht="19.350000000000001" customHeight="1" x14ac:dyDescent="0.25">
      <c r="I16" s="18"/>
    </row>
    <row r="17" spans="2:10" s="7" customFormat="1" ht="22.35" customHeight="1" x14ac:dyDescent="0.25">
      <c r="B17" s="146" t="s">
        <v>22</v>
      </c>
      <c r="C17" s="146"/>
      <c r="D17" s="146"/>
      <c r="E17" s="146"/>
      <c r="F17" s="146"/>
      <c r="G17" s="146"/>
      <c r="H17" s="146"/>
      <c r="I17" s="146"/>
      <c r="J17" s="146"/>
    </row>
    <row r="18" spans="2:10" ht="19.350000000000001" customHeight="1" x14ac:dyDescent="0.25">
      <c r="B18" s="117" t="s">
        <v>13</v>
      </c>
      <c r="C18" s="85" t="s">
        <v>8</v>
      </c>
      <c r="D18" s="85" t="s">
        <v>9</v>
      </c>
      <c r="E18" s="86" t="s">
        <v>7</v>
      </c>
      <c r="F18" s="85" t="s">
        <v>6</v>
      </c>
      <c r="G18" s="86" t="s">
        <v>14</v>
      </c>
      <c r="H18" s="86" t="s">
        <v>11</v>
      </c>
      <c r="I18" s="118" t="s">
        <v>6</v>
      </c>
      <c r="J18" s="86" t="s">
        <v>12</v>
      </c>
    </row>
    <row r="19" spans="2:10" ht="19.350000000000001" customHeight="1" x14ac:dyDescent="0.25">
      <c r="B19" s="119" t="s">
        <v>15</v>
      </c>
      <c r="C19" s="120">
        <f ca="1">COUNTIF(ValuesTable[Age (calculated)
],"&gt;=90")</f>
        <v>8</v>
      </c>
      <c r="D19" s="121">
        <f t="shared" ref="D19:D24" ca="1" si="2">C19/$C$25</f>
        <v>9.6385542168674704E-2</v>
      </c>
      <c r="E19" s="122">
        <f ca="1">SUMIF(ValuesTable[Age (calculated)
],"&gt;=90",ValuesTable[REVENUE
])</f>
        <v>288768.36</v>
      </c>
      <c r="F19" s="121">
        <f t="shared" ref="F19:F24" ca="1" si="3">E19/$E$25</f>
        <v>0.24964206845375334</v>
      </c>
      <c r="G19" s="123">
        <f ca="1">IF(C19&lt;&gt;0,E19/C19,"")</f>
        <v>36096.044999999998</v>
      </c>
      <c r="H19" s="122">
        <f ca="1">SUMIF(ValuesTable[Age (calculated)
],"&gt;=90",ValuesTable[AUM/AUA ($)
])</f>
        <v>32121638</v>
      </c>
      <c r="I19" s="121">
        <f t="shared" ref="I19:I24" ca="1" si="4">H19/$H$25</f>
        <v>0.29791576371796852</v>
      </c>
      <c r="J19" s="124">
        <f ca="1">IF(C19&lt;&gt;0,H19/C19,"")</f>
        <v>4015204.75</v>
      </c>
    </row>
    <row r="20" spans="2:10" ht="19.350000000000001" customHeight="1" x14ac:dyDescent="0.25">
      <c r="B20" s="19" t="s">
        <v>16</v>
      </c>
      <c r="C20" s="19">
        <f ca="1">COUNTIFS(ValuesTable[Age (calculated)
],"&gt;=80",ValuesTable[Age (calculated)
],"&lt;=89")</f>
        <v>8</v>
      </c>
      <c r="D20" s="125">
        <f t="shared" ca="1" si="2"/>
        <v>9.6385542168674704E-2</v>
      </c>
      <c r="E20" s="126">
        <f ca="1">SUMIFS(ValuesTable[REVENUE
],ValuesTable[Age (calculated)
],"&gt;=80",ValuesTable[Age (calculated)
],"&lt;=89")</f>
        <v>74920.160000000003</v>
      </c>
      <c r="F20" s="125">
        <f t="shared" ca="1" si="3"/>
        <v>6.4768950834108538E-2</v>
      </c>
      <c r="G20" s="127">
        <f t="shared" ref="G20:G24" ca="1" si="5">IF(C20&lt;&gt;0,E20/C20,"")</f>
        <v>9365.02</v>
      </c>
      <c r="H20" s="126">
        <f ca="1">SUMIFS(ValuesTable[AUM/AUA ($)
],ValuesTable[Age (calculated)
],"&gt;=80",ValuesTable[Age (calculated)
],"&lt;=89")</f>
        <v>6319007</v>
      </c>
      <c r="I20" s="125">
        <f t="shared" ca="1" si="4"/>
        <v>5.8606344929987349E-2</v>
      </c>
      <c r="J20" s="128">
        <f ca="1">IF(C20&lt;&gt;0,H20/C20,"")</f>
        <v>789875.875</v>
      </c>
    </row>
    <row r="21" spans="2:10" ht="19.350000000000001" customHeight="1" x14ac:dyDescent="0.25">
      <c r="B21" s="119" t="s">
        <v>17</v>
      </c>
      <c r="C21" s="119">
        <f ca="1">COUNTIFS(ValuesTable[Age (calculated)
],"&gt;=70",ValuesTable[Age (calculated)
],"&lt;=79")</f>
        <v>26</v>
      </c>
      <c r="D21" s="129">
        <f t="shared" ca="1" si="2"/>
        <v>0.31325301204819278</v>
      </c>
      <c r="E21" s="130">
        <f ca="1">SUMIFS(ValuesTable[REVENUE
],ValuesTable[Age (calculated)
],"&gt;=70",ValuesTable[Age (calculated)
],"&lt;=79")</f>
        <v>257373.72</v>
      </c>
      <c r="F21" s="129">
        <f t="shared" ca="1" si="3"/>
        <v>0.22250120417083488</v>
      </c>
      <c r="G21" s="131">
        <f t="shared" ca="1" si="5"/>
        <v>9898.9892307692317</v>
      </c>
      <c r="H21" s="130">
        <f ca="1">SUMIFS(ValuesTable[AUM/AUA ($)
],ValuesTable[Age (calculated)
],"&gt;=70",ValuesTable[Age (calculated)
],"&lt;=79")</f>
        <v>21267422</v>
      </c>
      <c r="I21" s="129">
        <f t="shared" ca="1" si="4"/>
        <v>0.19724711010821816</v>
      </c>
      <c r="J21" s="124">
        <f t="shared" ref="J21:J24" ca="1" si="6">IF(C21&lt;&gt;0,H21/C21,"")</f>
        <v>817977.76923076925</v>
      </c>
    </row>
    <row r="22" spans="2:10" ht="19.350000000000001" customHeight="1" x14ac:dyDescent="0.25">
      <c r="B22" s="19" t="s">
        <v>18</v>
      </c>
      <c r="C22" s="19">
        <f ca="1">COUNTIFS(ValuesTable[Age (calculated)
],"&gt;=60",ValuesTable[Age (calculated)
],"&lt;=69")</f>
        <v>29</v>
      </c>
      <c r="D22" s="125">
        <f t="shared" ca="1" si="2"/>
        <v>0.3493975903614458</v>
      </c>
      <c r="E22" s="126">
        <f ca="1">SUMIFS(ValuesTable[REVENUE
],ValuesTable[Age (calculated)
],"&gt;=60",ValuesTable[Age (calculated)
],"&lt;=69")</f>
        <v>340752.4</v>
      </c>
      <c r="F22" s="125">
        <f t="shared" ca="1" si="3"/>
        <v>0.29458259889200034</v>
      </c>
      <c r="G22" s="127">
        <f t="shared" ca="1" si="5"/>
        <v>11750.082758620691</v>
      </c>
      <c r="H22" s="126">
        <f ca="1">SUMIFS(ValuesTable[AUM/AUA ($)
],ValuesTable[Age (calculated)
],"&gt;=60",ValuesTable[Age (calculated)
],"&lt;=69")</f>
        <v>32963099.02</v>
      </c>
      <c r="I22" s="125">
        <f t="shared" ca="1" si="4"/>
        <v>0.30571998909440168</v>
      </c>
      <c r="J22" s="128">
        <f t="shared" ca="1" si="6"/>
        <v>1136658.5868965518</v>
      </c>
    </row>
    <row r="23" spans="2:10" ht="19.350000000000001" customHeight="1" x14ac:dyDescent="0.25">
      <c r="B23" s="119" t="s">
        <v>19</v>
      </c>
      <c r="C23" s="119">
        <f ca="1">COUNTIFS(ValuesTable[Age (calculated)
],"&gt;=50",ValuesTable[Age (calculated)
],"&lt;=59")</f>
        <v>8</v>
      </c>
      <c r="D23" s="129">
        <f t="shared" ca="1" si="2"/>
        <v>9.6385542168674704E-2</v>
      </c>
      <c r="E23" s="130">
        <f ca="1">SUMIFS(ValuesTable[REVENUE
],ValuesTable[Age (calculated)
],"&gt;=50",ValuesTable[Age (calculated)
],"&lt;=59")</f>
        <v>139807.64000000001</v>
      </c>
      <c r="F23" s="129">
        <f t="shared" ca="1" si="3"/>
        <v>0.12086458653308731</v>
      </c>
      <c r="G23" s="131">
        <f t="shared" ca="1" si="5"/>
        <v>17475.955000000002</v>
      </c>
      <c r="H23" s="130">
        <f ca="1">SUMIFS(ValuesTable[AUM/AUA ($)
],ValuesTable[Age (calculated)
],"&gt;=50",ValuesTable[Age (calculated)
],"&lt;=59")</f>
        <v>9955071.5700000003</v>
      </c>
      <c r="I23" s="129">
        <f t="shared" ca="1" si="4"/>
        <v>9.2329436924841315E-2</v>
      </c>
      <c r="J23" s="132">
        <f t="shared" ca="1" si="6"/>
        <v>1244383.94625</v>
      </c>
    </row>
    <row r="24" spans="2:10" ht="19.350000000000001" customHeight="1" x14ac:dyDescent="0.25">
      <c r="B24" s="133" t="s">
        <v>20</v>
      </c>
      <c r="C24" s="133">
        <f ca="1">COUNTIF(ValuesTable[Age (calculated)
],"&lt;50")</f>
        <v>2</v>
      </c>
      <c r="D24" s="134">
        <f t="shared" ca="1" si="2"/>
        <v>2.4096385542168676E-2</v>
      </c>
      <c r="E24" s="135">
        <f ca="1">SUMIF(ValuesTable[Age (calculated)
],"&lt;50",ValuesTable[REVENUE
])</f>
        <v>11027</v>
      </c>
      <c r="F24" s="134">
        <f t="shared" ca="1" si="3"/>
        <v>9.5329110462085871E-3</v>
      </c>
      <c r="G24" s="136">
        <f t="shared" ca="1" si="5"/>
        <v>5513.5</v>
      </c>
      <c r="H24" s="135">
        <f ca="1">SUMIF(ValuesTable[Age (calculated)
],"&lt;50",ValuesTable[AUM/AUA ($)
])</f>
        <v>750841</v>
      </c>
      <c r="I24" s="134">
        <f t="shared" ca="1" si="4"/>
        <v>6.9637597542741491E-3</v>
      </c>
      <c r="J24" s="137">
        <f t="shared" ca="1" si="6"/>
        <v>375420.5</v>
      </c>
    </row>
    <row r="25" spans="2:10" ht="19.350000000000001" customHeight="1" x14ac:dyDescent="0.25">
      <c r="B25" s="119" t="s">
        <v>45</v>
      </c>
      <c r="C25" s="119">
        <f>COUNTA(ValuesTable[
 ])</f>
        <v>83</v>
      </c>
      <c r="D25" s="119"/>
      <c r="E25" s="131">
        <f>SUM(ValuesTable[REVENUE
])</f>
        <v>1156729.56</v>
      </c>
      <c r="F25" s="119"/>
      <c r="G25" s="119"/>
      <c r="H25" s="131">
        <f>SUM(ValuesTable[AUM/AUA ($)
])</f>
        <v>107821209.59</v>
      </c>
      <c r="I25" s="119"/>
      <c r="J25" s="138"/>
    </row>
    <row r="26" spans="2:10" ht="19.350000000000001" customHeight="1" x14ac:dyDescent="0.25">
      <c r="E26" s="127"/>
      <c r="H26" s="127"/>
      <c r="J26" s="18"/>
    </row>
    <row r="27" spans="2:10" ht="19.350000000000001" customHeight="1" x14ac:dyDescent="0.25"/>
    <row r="28" spans="2:10" s="7" customFormat="1" ht="22.35" customHeight="1" x14ac:dyDescent="0.25">
      <c r="B28" s="146" t="s">
        <v>23</v>
      </c>
      <c r="C28" s="146"/>
      <c r="D28" s="146"/>
      <c r="E28" s="146"/>
      <c r="F28" s="146"/>
      <c r="G28" s="146"/>
      <c r="H28" s="146"/>
      <c r="I28" s="146"/>
      <c r="J28" s="146"/>
    </row>
    <row r="29" spans="2:10" ht="19.350000000000001" customHeight="1" x14ac:dyDescent="0.25">
      <c r="B29" s="117" t="s">
        <v>13</v>
      </c>
      <c r="C29" s="85" t="s">
        <v>8</v>
      </c>
      <c r="D29" s="85" t="s">
        <v>9</v>
      </c>
      <c r="E29" s="86" t="s">
        <v>7</v>
      </c>
      <c r="F29" s="85" t="s">
        <v>6</v>
      </c>
      <c r="G29" s="86" t="s">
        <v>14</v>
      </c>
      <c r="H29" s="86" t="s">
        <v>11</v>
      </c>
      <c r="I29" s="118" t="s">
        <v>6</v>
      </c>
      <c r="J29" s="86" t="s">
        <v>12</v>
      </c>
    </row>
    <row r="30" spans="2:10" ht="19.350000000000001" customHeight="1" x14ac:dyDescent="0.25">
      <c r="B30" s="119" t="s">
        <v>24</v>
      </c>
      <c r="C30" s="120">
        <f>COUNTIF(ValuesTable[Investor Lifecycle: Accumulation
or Distribution
(A /D)
],Summary!B30)</f>
        <v>25</v>
      </c>
      <c r="D30" s="129">
        <f>C30/C32</f>
        <v>0.30120481927710846</v>
      </c>
      <c r="E30" s="139">
        <f>SUMIF(ValuesTable[Investor Lifecycle: Accumulation
or Distribution
(A /D)
],Summary!B30,ValuesTable[REVENUE
])</f>
        <v>501813.04000000004</v>
      </c>
      <c r="F30" s="129">
        <f>E30/E32</f>
        <v>0.43382053796567627</v>
      </c>
      <c r="G30" s="131">
        <f>IF(C30&lt;&gt;0,E30/C30,"")</f>
        <v>20072.5216</v>
      </c>
      <c r="H30" s="131">
        <f>SUMIF(ValuesTable[Investor Lifecycle: Accumulation
or Distribution
(A /D)
],Summary!B30,ValuesTable[AUM/AUA ($)
])</f>
        <v>45870318.019999996</v>
      </c>
      <c r="I30" s="129">
        <f>H30/$H$32</f>
        <v>0.42542945116666814</v>
      </c>
      <c r="J30" s="124">
        <f>IF(C30&lt;&gt;0,H30/C30,"")</f>
        <v>1834812.7207999998</v>
      </c>
    </row>
    <row r="31" spans="2:10" ht="19.350000000000001" customHeight="1" x14ac:dyDescent="0.25">
      <c r="B31" s="133" t="s">
        <v>30</v>
      </c>
      <c r="C31" s="133">
        <f>COUNTIF(ValuesTable[Investor Lifecycle: Accumulation
or Distribution
(A /D)
],Summary!B31)</f>
        <v>57</v>
      </c>
      <c r="D31" s="134">
        <f>C31/C32</f>
        <v>0.68674698795180722</v>
      </c>
      <c r="E31" s="136">
        <f>SUMIF(ValuesTable[Investor Lifecycle: Accumulation
or Distribution
(A /D)
],Summary!B31,ValuesTable[REVENUE
])</f>
        <v>620468.72</v>
      </c>
      <c r="F31" s="134">
        <f>E31/E32</f>
        <v>0.53639912167542425</v>
      </c>
      <c r="G31" s="136">
        <f>IF(C31&lt;&gt;0,E31/C31,"")</f>
        <v>10885.416140350877</v>
      </c>
      <c r="H31" s="136">
        <f>SUMIF(ValuesTable[Investor Lifecycle: Accumulation
or Distribution
(A /D)
],Summary!B31,ValuesTable[AUM/AUA ($)
])</f>
        <v>58317978.57</v>
      </c>
      <c r="I31" s="134">
        <f>H31/$H$32</f>
        <v>0.5408766864308</v>
      </c>
      <c r="J31" s="137">
        <f t="shared" ref="J31" si="7">IF(C31&lt;&gt;0,H31/C31,"")</f>
        <v>1023122.4310526316</v>
      </c>
    </row>
    <row r="32" spans="2:10" ht="19.350000000000001" customHeight="1" x14ac:dyDescent="0.25">
      <c r="B32" s="119" t="s">
        <v>45</v>
      </c>
      <c r="C32" s="119">
        <f>COUNTA(ValuesTable[
 ])</f>
        <v>83</v>
      </c>
      <c r="D32" s="119"/>
      <c r="E32" s="131">
        <f>SUM(ValuesTable[REVENUE
])</f>
        <v>1156729.56</v>
      </c>
      <c r="F32" s="119"/>
      <c r="G32" s="119"/>
      <c r="H32" s="131">
        <f>SUM(ValuesTable[AUM/AUA ($)
])</f>
        <v>107821209.59</v>
      </c>
      <c r="I32" s="119"/>
      <c r="J32" s="138"/>
    </row>
    <row r="37" spans="7:7" x14ac:dyDescent="0.25">
      <c r="G37" s="140"/>
    </row>
  </sheetData>
  <mergeCells count="5">
    <mergeCell ref="B1:J1"/>
    <mergeCell ref="B4:J4"/>
    <mergeCell ref="B17:J17"/>
    <mergeCell ref="B28:J28"/>
    <mergeCell ref="B2:J2"/>
  </mergeCells>
  <dataValidations count="1">
    <dataValidation allowBlank="1" showInputMessage="1" showErrorMessage="1" promptTitle="What is ROA?" prompt="Return on Assets, also known as Revenue Yield or Turn Ratio, is calculated by dividing total revenue by total assets." sqref="B14" xr:uid="{00000000-0002-0000-0200-000000000000}"/>
  </dataValidations>
  <pageMargins left="0.7" right="0.7" top="0.75" bottom="0.75" header="0.3" footer="0.3"/>
  <pageSetup scale="92" fitToHeight="0"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3"/>
  <sheetViews>
    <sheetView workbookViewId="0">
      <selection activeCell="C4" sqref="C4"/>
    </sheetView>
  </sheetViews>
  <sheetFormatPr defaultColWidth="8.7109375" defaultRowHeight="15" x14ac:dyDescent="0.25"/>
  <cols>
    <col min="3" max="3" width="13.7109375" customWidth="1"/>
  </cols>
  <sheetData>
    <row r="1" spans="1:3" x14ac:dyDescent="0.25">
      <c r="A1" t="s">
        <v>25</v>
      </c>
      <c r="B1" t="s">
        <v>27</v>
      </c>
      <c r="C1" t="s">
        <v>24</v>
      </c>
    </row>
    <row r="2" spans="1:3" x14ac:dyDescent="0.25">
      <c r="A2" t="s">
        <v>26</v>
      </c>
      <c r="B2" t="s">
        <v>28</v>
      </c>
      <c r="C2" t="s">
        <v>30</v>
      </c>
    </row>
    <row r="3" spans="1:3" x14ac:dyDescent="0.25">
      <c r="B3" t="s">
        <v>29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Client Information</vt:lpstr>
      <vt:lpstr>Summary</vt:lpstr>
      <vt:lpstr>Keywords</vt:lpstr>
      <vt:lpstr>'Client Information'!Print_Area</vt:lpstr>
      <vt:lpstr>'Client Information'!Print_Titles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Carlson Koenig</dc:creator>
  <cp:lastModifiedBy>Administrator</cp:lastModifiedBy>
  <cp:lastPrinted>2016-12-21T16:05:39Z</cp:lastPrinted>
  <dcterms:created xsi:type="dcterms:W3CDTF">2016-11-17T14:31:36Z</dcterms:created>
  <dcterms:modified xsi:type="dcterms:W3CDTF">2020-04-29T16:46:59Z</dcterms:modified>
</cp:coreProperties>
</file>